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9.xml.rels" ContentType="application/vnd.openxmlformats-package.relationships+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etup" sheetId="2" state="visible" r:id="rId4"/>
    <sheet name="Trial Balance" sheetId="3" state="visible" r:id="rId5"/>
    <sheet name="Budget" sheetId="4" state="visible" r:id="rId6"/>
    <sheet name="Income Statement" sheetId="5" state="visible" r:id="rId7"/>
    <sheet name="Balance Sheet" sheetId="6" state="visible" r:id="rId8"/>
    <sheet name="Cash Flow" sheetId="7" state="visible" r:id="rId9"/>
    <sheet name="KPIs" sheetId="8" state="visible" r:id="rId10"/>
    <sheet name="Commentary" sheetId="9" state="visible" r:id="rId11"/>
    <sheet name="Checks" sheetId="10" state="visible" r:id="rId12"/>
    <sheet name="Calc" sheetId="11" state="visible" r:id="rId13"/>
    <sheet name="Mapping" sheetId="12" state="visible" r:id="rId1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<sst xmlns="http://schemas.openxmlformats.org/spreadsheetml/2006/main" count="840" uniqueCount="476">
  <si>
    <t xml:space="preserve">Management Accounts Template for South African SMEs</t>
  </si>
  <si>
    <t xml:space="preserve">Free Excel template from LBA Accounting  |  Version 1.1  |  October 2026  |  llba.co.za</t>
  </si>
  <si>
    <t xml:space="preserve">Need help with monthly management accounts, annual financial statements or tax returns? Visit llba.co.za</t>
  </si>
  <si>
    <t xml:space="preserve">THIS FILE CONTAINS FICTIONAL EXAMPLE DATA for 'Sample Trading (Pty) Ltd'. It shows what a finished pack looks like. To use the template with your own numbers, download the blank version.</t>
  </si>
  <si>
    <t xml:space="preserve">What it does</t>
  </si>
  <si>
    <t xml:space="preserve">Turns your monthly trial balance and budget into a management accounts pack: income statement (month and year to date vs budget), balance sheet, cash flow statement, KPI dashboard and a commentary page with a month-end checklist and SARS key dates. Built for VAT-registered and non-VAT South African companies with turnover up to roughly R100m. Rand amounts, any financial year-end.</t>
  </si>
  <si>
    <t xml:space="preserve">How to use it</t>
  </si>
  <si>
    <t xml:space="preserve">1. Setup tab</t>
  </si>
  <si>
    <t xml:space="preserve">Enter company name, financial year-end date, VAT status, VAT filing category and the reporting month (1 = first month of your financial year).</t>
  </si>
  <si>
    <t xml:space="preserve">2. Trial Balance tab</t>
  </si>
  <si>
    <t xml:space="preserve">A starter chart of accounts is loaded. Rename accounts or add your own in the blank rows (up to 250 accounts). Every account must be mapped to a 'Report line' (drop-down) - this decides where it appears in the statements.</t>
  </si>
  <si>
    <t xml:space="preserve">3. Opening balances</t>
  </si>
  <si>
    <t xml:space="preserve">Enter the prior year-end closing balances for balance sheet accounts in the Opening column. Retained earnings must already include last year's profit.</t>
  </si>
  <si>
    <t xml:space="preserve">4. Each month</t>
  </si>
  <si>
    <t xml:space="preserve">Paste the YEAR-TO-DATE trial balance into that month's column (see 'Exporting your trial balance' below). Debits positive, credits negative.</t>
  </si>
  <si>
    <t xml:space="preserve">5. Budget tab</t>
  </si>
  <si>
    <t xml:space="preserve">Enter the monthly budget by report line, as positive numbers, excluding VAT.</t>
  </si>
  <si>
    <t xml:space="preserve">6. Checks tab</t>
  </si>
  <si>
    <t xml:space="preserve">Confirm the overall status reads 'OK - all checks passed'. Fix any ERROR before issuing the pack.</t>
  </si>
  <si>
    <t xml:space="preserve">7. Review and issue</t>
  </si>
  <si>
    <t xml:space="preserve">Review Income Statement, Balance Sheet, Cash Flow and KPIs. Write the Commentary, tick the checklist, then print or save as PDF (each sheet is print-ready).</t>
  </si>
  <si>
    <t xml:space="preserve">Exporting your trial balance</t>
  </si>
  <si>
    <t xml:space="preserve">Rules for every package</t>
  </si>
  <si>
    <t xml:space="preserve">Run the Trial Balance as at the month-end for the financial year to date (first day of the financial year to month-end), NOT the month's movement. Use ONE net column = Debit minus Credit, so credits are negative (if your export has separate Debit and Credit columns, add a column =Debit-Credit and paste that). Delete any 'current year profit / net profit' line - the workbook calculates it. Retained earnings must be the prior-year balance only.</t>
  </si>
  <si>
    <t xml:space="preserve">Xero</t>
  </si>
  <si>
    <t xml:space="preserve">Typical path: Reporting &gt; All reports &gt; Trial Balance. Choose the month-end date and use the year-to-date figures (YTD Debit / YTD Credit), then net them. Export to Excel or CSV.</t>
  </si>
  <si>
    <t xml:space="preserve">Sage Business Cloud Accounting</t>
  </si>
  <si>
    <t xml:space="preserve">Typical path: Reporting &gt; Accounting &gt; Trial Balance. Set the date range from the first day of the financial year to the month-end, then net Debit minus Credit.</t>
  </si>
  <si>
    <t xml:space="preserve">QuickBooks Online</t>
  </si>
  <si>
    <t xml:space="preserve">Typical path: Reports &gt; Trial Balance (accrual basis). Set the date range from the first day of the financial year to the month-end, then net Debit minus Credit.</t>
  </si>
  <si>
    <t xml:space="preserve">Pastel Partner / Sage Evolution</t>
  </si>
  <si>
    <t xml:space="preserve">Typical path: General Ledger &gt; Reports &gt; Trial Balance for the financial year to date (choose the year-to-date / closing balance option, not period movement). Export to Excel or CSV and net Debit minus Credit if shown in two columns.</t>
  </si>
  <si>
    <t xml:space="preserve">Zoho Books</t>
  </si>
  <si>
    <t xml:space="preserve">Typical path: Reports &gt; Accountant &gt; Trial Balance with the date range from the first day of the financial year to the month-end.</t>
  </si>
  <si>
    <t xml:space="preserve">Opening column</t>
  </si>
  <si>
    <t xml:space="preserve">Run the same report as at the previous year-end (after the year was closed) and paste the balance sheet accounts only. Leave income statement accounts blank.</t>
  </si>
  <si>
    <t xml:space="preserve">Mapping tip</t>
  </si>
  <si>
    <t xml:space="preserve">Sort the export by account code, paste codes, names and balances, then pick the Report line for each account from the drop-down. Paste one column block at a time into the yellow cells.</t>
  </si>
  <si>
    <t xml:space="preserve">Menu names change between software versions. If you cannot find the report, search your software's help for 'trial balance'.</t>
  </si>
  <si>
    <t xml:space="preserve">Colour legend</t>
  </si>
  <si>
    <t xml:space="preserve">Blue on yellow</t>
  </si>
  <si>
    <t xml:space="preserve">Input cell - type or paste here. Only these cells are unlocked.</t>
  </si>
  <si>
    <t xml:space="preserve">Black</t>
  </si>
  <si>
    <t xml:space="preserve">Formula - locked so it cannot be overwritten by accident.</t>
  </si>
  <si>
    <t xml:space="preserve">Red, negative numbers in brackets</t>
  </si>
  <si>
    <t xml:space="preserve">Adverse variance or credit balance.</t>
  </si>
  <si>
    <t xml:space="preserve">Sheet guide</t>
  </si>
  <si>
    <t xml:space="preserve">Setup, Trial Balance, Budget</t>
  </si>
  <si>
    <t xml:space="preserve">Inputs (gold tabs).</t>
  </si>
  <si>
    <t xml:space="preserve">Income Statement, Balance Sheet, Cash Flow, KPIs, Commentary</t>
  </si>
  <si>
    <t xml:space="preserve">Outputs for the monthly pack (navy tabs).</t>
  </si>
  <si>
    <t xml:space="preserve">Checks</t>
  </si>
  <si>
    <t xml:space="preserve">Integrity checks (green tab).</t>
  </si>
  <si>
    <t xml:space="preserve">Calc, Mapping</t>
  </si>
  <si>
    <t xml:space="preserve">Engine and report-line list (grey tabs) - leave unchanged.</t>
  </si>
  <si>
    <t xml:space="preserve">Protection, extra accounts and Google Sheets</t>
  </si>
  <si>
    <t xml:space="preserve">Every sheet is protected WITHOUT a password so formulas cannot be overwritten by accident. To audit or change anything use Review &gt; Unprotect Sheet (no password needed). New accounts go in the blank rows of the Trial Balance tab - they are picked up automatically (capacity 250 accounts). The workbook uses standard functions (SUMIFS, INDEX/MATCH, EOMONTH, WORKDAY, TEXT) and is designed to work in Google Sheets as well, but it was built and tested in Excel. If you open it as a Google Sheet, check that the Checks tab shows 'OK' and note that sheet protection and some formatting can behave differently there.</t>
  </si>
  <si>
    <t xml:space="preserve">Before you rely on the numbers</t>
  </si>
  <si>
    <t xml:space="preserve">Management accounts are only as good as the bookkeeping underneath. Reconcile bank, debtors, creditors, VAT, payroll and loans first (see the checklist on the Commentary tab). This is a management report - it is unaudited, not reviewed, and not a set of annual financial statements. Judgement areas (e.g. classification of shareholder loans, overdrafts, VAT control balances) are yours to confirm; VAT and income tax control accounts are shown net. SARS dates are calculated from SARS rules (sars.gov.za) - always confirm against the SARS calendar.</t>
  </si>
  <si>
    <t xml:space="preserve">Want this done for you?</t>
  </si>
  <si>
    <t xml:space="preserve">LBA Accounting prepares monthly management accounts for Gauteng SMEs, reviewed by a qualified accountant, with VAT, payroll and SARS compliance handled in the same system. Book a free consultation:</t>
  </si>
  <si>
    <t xml:space="preserve">https://llba.co.za/contact?service=Management+Accounts&amp;source=template-download</t>
  </si>
  <si>
    <t xml:space="preserve">Licence and disclaimer</t>
  </si>
  <si>
    <t xml:space="preserve">Free to use and share with attribution to LBA Accounting (llba.co.za). Please do not sell it or remove this notice. Provided as-is for general information; it is not professional advice, and you remain responsible for the accuracy of your records and reports. (c) 2026 LBA Accounting.</t>
  </si>
  <si>
    <t xml:space="preserve">Setup</t>
  </si>
  <si>
    <t xml:space="preserve">Complete the yellow cells. Everything else in the workbook is driven from here.</t>
  </si>
  <si>
    <t xml:space="preserve">Company name</t>
  </si>
  <si>
    <t xml:space="preserve">Sample Trading (Pty) Ltd - FICTIONAL EXAMPLE</t>
  </si>
  <si>
    <t xml:space="preserve">Appears on every statement.</t>
  </si>
  <si>
    <t xml:space="preserve">Registration number</t>
  </si>
  <si>
    <t xml:space="preserve">0000/000000/07 (fictional)</t>
  </si>
  <si>
    <t xml:space="preserve">Optional.</t>
  </si>
  <si>
    <t xml:space="preserve">Financial year-end date</t>
  </si>
  <si>
    <t xml:space="preserve">Last day of your financial year, e.g. 28 Feb 2027 or 31 Dec 2026.</t>
  </si>
  <si>
    <t xml:space="preserve">Reporting month (1 = first month of the financial year)</t>
  </si>
  <si>
    <t xml:space="preserve">Example: year-end 28 Feb, reporting June -&gt; enter 4 (Mar=1, Apr=2, May=3, Jun=4).</t>
  </si>
  <si>
    <t xml:space="preserve">VAT vendor?</t>
  </si>
  <si>
    <t xml:space="preserve">Yes</t>
  </si>
  <si>
    <t xml:space="preserve">If 'No', debtor and creditor days are not grossed up for VAT.</t>
  </si>
  <si>
    <t xml:space="preserve">VAT rate</t>
  </si>
  <si>
    <t xml:space="preserve">South African standard rate.</t>
  </si>
  <si>
    <t xml:space="preserve">Prepared by</t>
  </si>
  <si>
    <t xml:space="preserve">A. Clerk</t>
  </si>
  <si>
    <t xml:space="preserve">Clerk / bookkeeper.</t>
  </si>
  <si>
    <t xml:space="preserve">Reviewed by</t>
  </si>
  <si>
    <t xml:space="preserve">Accountant</t>
  </si>
  <si>
    <t xml:space="preserve">Accountant / partner who reviewed the pack.</t>
  </si>
  <si>
    <t xml:space="preserve">Date prepared</t>
  </si>
  <si>
    <t xml:space="preserve">VAT filing category (A, B, C, D or E)</t>
  </si>
  <si>
    <t xml:space="preserve">A</t>
  </si>
  <si>
    <t xml:space="preserve">A = two-monthly (periods end Jan, Mar, May, Jul, Sep, Nov); B = two-monthly (Feb, Apr, Jun, Aug, Oct, Dec); C = monthly. D / E: see your SARS registration. Used for the key-dates table.</t>
  </si>
  <si>
    <t xml:space="preserve">Calculated (do not edit)</t>
  </si>
  <si>
    <t xml:space="preserve">Financial year start</t>
  </si>
  <si>
    <t xml:space="preserve">Reporting period end</t>
  </si>
  <si>
    <t xml:space="preserve">Reporting period label</t>
  </si>
  <si>
    <t xml:space="preserve">Days in year to date</t>
  </si>
  <si>
    <t xml:space="preserve">Financial year label</t>
  </si>
  <si>
    <t xml:space="preserve">VAT gross-up used for debtor / creditor days</t>
  </si>
  <si>
    <t xml:space="preserve">Month calendar</t>
  </si>
  <si>
    <t xml:space="preserve">Month no.</t>
  </si>
  <si>
    <t xml:space="preserve">Month end</t>
  </si>
  <si>
    <t xml:space="preserve">Trial balance - year-to-date balances</t>
  </si>
  <si>
    <t xml:space="preserve">Debits positive (+), credits negative (-). Opening column = prior year-end closing balances (balance sheet accounts only). Month columns = YEAR-TO-DATE closing balances for that month (not the month's movement). Leave future months blank.</t>
  </si>
  <si>
    <t xml:space="preserve">Code</t>
  </si>
  <si>
    <t xml:space="preserve">Account name</t>
  </si>
  <si>
    <t xml:space="preserve">Report line (choose from list)</t>
  </si>
  <si>
    <t xml:space="preserve">Type</t>
  </si>
  <si>
    <t xml:space="preserve">Opening (prior year-end)</t>
  </si>
  <si>
    <t xml:space="preserve">Unmapped flag</t>
  </si>
  <si>
    <t xml:space="preserve">EXAMPLE ROW (ignored): Trade receivables control</t>
  </si>
  <si>
    <t xml:space="preserve">Trade receivables</t>
  </si>
  <si>
    <t xml:space="preserve">BS</t>
  </si>
  <si>
    <t xml:space="preserve">Property, plant and equipment - cost</t>
  </si>
  <si>
    <t xml:space="preserve">Property, plant and equipment</t>
  </si>
  <si>
    <t xml:space="preserve">Property, plant and equipment - accumulated depreciation</t>
  </si>
  <si>
    <t xml:space="preserve">Intangible assets (net)</t>
  </si>
  <si>
    <t xml:space="preserve">Intangible assets</t>
  </si>
  <si>
    <t xml:space="preserve">Rental and utility deposits</t>
  </si>
  <si>
    <t xml:space="preserve">Other non-current assets</t>
  </si>
  <si>
    <t xml:space="preserve">Inventory - merchandise</t>
  </si>
  <si>
    <t xml:space="preserve">Inventory</t>
  </si>
  <si>
    <t xml:space="preserve">Trade receivables control</t>
  </si>
  <si>
    <t xml:space="preserve">Prepayments</t>
  </si>
  <si>
    <t xml:space="preserve">Other receivables and prepayments</t>
  </si>
  <si>
    <t xml:space="preserve">Staff and sundry receivables</t>
  </si>
  <si>
    <t xml:space="preserve">Bank - current account</t>
  </si>
  <si>
    <t xml:space="preserve">Cash and bank</t>
  </si>
  <si>
    <t xml:space="preserve">Bank - savings / call account</t>
  </si>
  <si>
    <t xml:space="preserve">Petty cash</t>
  </si>
  <si>
    <t xml:space="preserve">Trade payables control</t>
  </si>
  <si>
    <t xml:space="preserve">Trade payables</t>
  </si>
  <si>
    <t xml:space="preserve">Accruals</t>
  </si>
  <si>
    <t xml:space="preserve">Other payables and accruals</t>
  </si>
  <si>
    <t xml:space="preserve">Leave pay and bonus accrual</t>
  </si>
  <si>
    <t xml:space="preserve">VAT control account</t>
  </si>
  <si>
    <t xml:space="preserve">VAT payable / (receivable)</t>
  </si>
  <si>
    <t xml:space="preserve">PAYE payable</t>
  </si>
  <si>
    <t xml:space="preserve">Payroll taxes payable</t>
  </si>
  <si>
    <t xml:space="preserve">UIF payable</t>
  </si>
  <si>
    <t xml:space="preserve">SDL payable</t>
  </si>
  <si>
    <t xml:space="preserve">Income tax payable / (receivable)</t>
  </si>
  <si>
    <t xml:space="preserve">Short-term loan</t>
  </si>
  <si>
    <t xml:space="preserve">Short-term borrowings</t>
  </si>
  <si>
    <t xml:space="preserve">Bank overdraft</t>
  </si>
  <si>
    <t xml:space="preserve">Long-term loan</t>
  </si>
  <si>
    <t xml:space="preserve">Long-term borrowings</t>
  </si>
  <si>
    <t xml:space="preserve">Shareholder / director loan</t>
  </si>
  <si>
    <t xml:space="preserve">Shareholder loans</t>
  </si>
  <si>
    <t xml:space="preserve">Share capital</t>
  </si>
  <si>
    <t xml:space="preserve">Retained earnings - prior years</t>
  </si>
  <si>
    <t xml:space="preserve">Retained earnings (prior years)</t>
  </si>
  <si>
    <t xml:space="preserve">Dividends / drawings</t>
  </si>
  <si>
    <t xml:space="preserve">Dividends and drawings</t>
  </si>
  <si>
    <t xml:space="preserve">Sales - goods</t>
  </si>
  <si>
    <t xml:space="preserve">Revenue</t>
  </si>
  <si>
    <t xml:space="preserve">Sales - services</t>
  </si>
  <si>
    <t xml:space="preserve">Sundry income</t>
  </si>
  <si>
    <t xml:space="preserve">Other income</t>
  </si>
  <si>
    <t xml:space="preserve">Interest received</t>
  </si>
  <si>
    <t xml:space="preserve">Finance income</t>
  </si>
  <si>
    <t xml:space="preserve">Cost of sales - goods</t>
  </si>
  <si>
    <t xml:space="preserve">Cost of sales</t>
  </si>
  <si>
    <t xml:space="preserve">Direct labour and subcontractors</t>
  </si>
  <si>
    <t xml:space="preserve">Freight and import duties</t>
  </si>
  <si>
    <t xml:space="preserve">Salaries and wages</t>
  </si>
  <si>
    <t xml:space="preserve">Employee costs</t>
  </si>
  <si>
    <t xml:space="preserve">UIF and SDL - employer</t>
  </si>
  <si>
    <t xml:space="preserve">Staff training and welfare</t>
  </si>
  <si>
    <t xml:space="preserve">Rent - premises</t>
  </si>
  <si>
    <t xml:space="preserve">Rent and occupancy</t>
  </si>
  <si>
    <t xml:space="preserve">Security and cleaning</t>
  </si>
  <si>
    <t xml:space="preserve">Advertising and promotion</t>
  </si>
  <si>
    <t xml:space="preserve">Marketing and advertising</t>
  </si>
  <si>
    <t xml:space="preserve">Website and digital marketing</t>
  </si>
  <si>
    <t xml:space="preserve">Accounting and bookkeeping fees</t>
  </si>
  <si>
    <t xml:space="preserve">Professional fees</t>
  </si>
  <si>
    <t xml:space="preserve">Legal fees</t>
  </si>
  <si>
    <t xml:space="preserve">Consulting fees</t>
  </si>
  <si>
    <t xml:space="preserve">Fuel</t>
  </si>
  <si>
    <t xml:space="preserve">Motor vehicle and travel</t>
  </si>
  <si>
    <t xml:space="preserve">Vehicle maintenance and licences</t>
  </si>
  <si>
    <t xml:space="preserve">Travel and accommodation</t>
  </si>
  <si>
    <t xml:space="preserve">Electricity and water</t>
  </si>
  <si>
    <t xml:space="preserve">Utilities and telecoms</t>
  </si>
  <si>
    <t xml:space="preserve">Telephone and internet</t>
  </si>
  <si>
    <t xml:space="preserve">Repairs and maintenance</t>
  </si>
  <si>
    <t xml:space="preserve">Insurance</t>
  </si>
  <si>
    <t xml:space="preserve">Bank charges</t>
  </si>
  <si>
    <t xml:space="preserve">Stationery and printing</t>
  </si>
  <si>
    <t xml:space="preserve">Other operating expenses</t>
  </si>
  <si>
    <t xml:space="preserve">Software subscriptions</t>
  </si>
  <si>
    <t xml:space="preserve">Licences and memberships</t>
  </si>
  <si>
    <t xml:space="preserve">General expenses</t>
  </si>
  <si>
    <t xml:space="preserve">Depreciation</t>
  </si>
  <si>
    <t xml:space="preserve">Depreciation and amortisation</t>
  </si>
  <si>
    <t xml:space="preserve">Amortisation</t>
  </si>
  <si>
    <t xml:space="preserve">Interest paid</t>
  </si>
  <si>
    <t xml:space="preserve">Finance costs</t>
  </si>
  <si>
    <t xml:space="preserve">SARS interest and penalties</t>
  </si>
  <si>
    <t xml:space="preserve">Income tax expense</t>
  </si>
  <si>
    <t xml:space="preserve">Total (must be zero in every column)</t>
  </si>
  <si>
    <t xml:space="preserve">Status</t>
  </si>
  <si>
    <t xml:space="preserve">Budget - monthly, by report line</t>
  </si>
  <si>
    <t xml:space="preserve">Enter the budget for each month as POSITIVE numbers for both income and expenses (e.g. rent budget R34,000 = 34000). Excludes VAT.</t>
  </si>
  <si>
    <t xml:space="preserve">Report line</t>
  </si>
  <si>
    <t xml:space="preserve">Full year</t>
  </si>
  <si>
    <t xml:space="preserve">Income, costs and tax (positive numbers)</t>
  </si>
  <si>
    <t xml:space="preserve">Budgeted net profit</t>
  </si>
  <si>
    <t xml:space="preserve">Tip: tax budget is usually 27% x budgeted profit before tax for a company (check your own position).</t>
  </si>
  <si>
    <t xml:space="preserve">Income Statement (management accounts)</t>
  </si>
  <si>
    <t xml:space="preserve">Need help with management accounts, annual financial statements or tax returns? Visit llba.co.za</t>
  </si>
  <si>
    <t xml:space="preserve">Year to date</t>
  </si>
  <si>
    <t xml:space="preserve">Rand (R)</t>
  </si>
  <si>
    <t xml:space="preserve">Actual</t>
  </si>
  <si>
    <t xml:space="preserve">Budget</t>
  </si>
  <si>
    <t xml:space="preserve">Var R</t>
  </si>
  <si>
    <t xml:space="preserve">Var %</t>
  </si>
  <si>
    <t xml:space="preserve">Gross profit</t>
  </si>
  <si>
    <t xml:space="preserve">  Gross profit margin %</t>
  </si>
  <si>
    <t xml:space="preserve">Operating expenses</t>
  </si>
  <si>
    <t xml:space="preserve">  Employee costs</t>
  </si>
  <si>
    <t xml:space="preserve">  Rent and occupancy</t>
  </si>
  <si>
    <t xml:space="preserve">  Marketing and advertising</t>
  </si>
  <si>
    <t xml:space="preserve">  Professional fees</t>
  </si>
  <si>
    <t xml:space="preserve">  Motor vehicle and travel</t>
  </si>
  <si>
    <t xml:space="preserve">  Utilities and telecoms</t>
  </si>
  <si>
    <t xml:space="preserve">  Repairs and maintenance</t>
  </si>
  <si>
    <t xml:space="preserve">  Insurance</t>
  </si>
  <si>
    <t xml:space="preserve">  Bank charges</t>
  </si>
  <si>
    <t xml:space="preserve">  Other operating expenses</t>
  </si>
  <si>
    <t xml:space="preserve">Total operating expenses</t>
  </si>
  <si>
    <t xml:space="preserve">EBITDA</t>
  </si>
  <si>
    <t xml:space="preserve">Operating profit (EBIT)</t>
  </si>
  <si>
    <t xml:space="preserve">Profit before tax</t>
  </si>
  <si>
    <t xml:space="preserve">Net profit for the period</t>
  </si>
  <si>
    <t xml:space="preserve">  Net profit margin %</t>
  </si>
  <si>
    <t xml:space="preserve">Variance sign: positive = favourable to profit, negative (red) = adverse. Margin variances are in percentage points.</t>
  </si>
  <si>
    <t xml:space="preserve">Management accounts - unaudited, not reviewed under ISRE 2400. Prepared for management use only.</t>
  </si>
  <si>
    <t xml:space="preserve">Balance Sheet (statement of financial position)</t>
  </si>
  <si>
    <t xml:space="preserve">Current</t>
  </si>
  <si>
    <t xml:space="preserve">Prior month</t>
  </si>
  <si>
    <t xml:space="preserve">Prior year-end</t>
  </si>
  <si>
    <t xml:space="preserve">Movement YTD</t>
  </si>
  <si>
    <t xml:space="preserve">ASSETS</t>
  </si>
  <si>
    <t xml:space="preserve">Non-current assets</t>
  </si>
  <si>
    <t xml:space="preserve">  Property, plant and equipment</t>
  </si>
  <si>
    <t xml:space="preserve">  Intangible assets</t>
  </si>
  <si>
    <t xml:space="preserve">  Other non-current assets</t>
  </si>
  <si>
    <t xml:space="preserve">Total non-current assets</t>
  </si>
  <si>
    <t xml:space="preserve">Current assets</t>
  </si>
  <si>
    <t xml:space="preserve">  Inventory</t>
  </si>
  <si>
    <t xml:space="preserve">  Trade receivables</t>
  </si>
  <si>
    <t xml:space="preserve">  Other receivables and prepayments</t>
  </si>
  <si>
    <t xml:space="preserve">  Cash and bank</t>
  </si>
  <si>
    <t xml:space="preserve">Total current assets</t>
  </si>
  <si>
    <t xml:space="preserve">TOTAL ASSETS</t>
  </si>
  <si>
    <t xml:space="preserve">EQUITY AND LIABILITIES</t>
  </si>
  <si>
    <t xml:space="preserve">Equity</t>
  </si>
  <si>
    <t xml:space="preserve">  Share capital</t>
  </si>
  <si>
    <t xml:space="preserve">  Retained earnings (prior years)</t>
  </si>
  <si>
    <t xml:space="preserve">  Dividends and drawings (current year)</t>
  </si>
  <si>
    <t xml:space="preserve">  Profit for the current year to date</t>
  </si>
  <si>
    <t xml:space="preserve">Total equity</t>
  </si>
  <si>
    <t xml:space="preserve">Non-current liabilities</t>
  </si>
  <si>
    <t xml:space="preserve">  Long-term borrowings</t>
  </si>
  <si>
    <t xml:space="preserve">  Shareholder loans</t>
  </si>
  <si>
    <t xml:space="preserve">Total non-current liabilities</t>
  </si>
  <si>
    <t xml:space="preserve">Current liabilities</t>
  </si>
  <si>
    <t xml:space="preserve">  Trade payables</t>
  </si>
  <si>
    <t xml:space="preserve">  Other payables and accruals</t>
  </si>
  <si>
    <t xml:space="preserve">  VAT payable / (receivable)</t>
  </si>
  <si>
    <t xml:space="preserve">  Payroll taxes payable (PAYE, UIF, SDL)</t>
  </si>
  <si>
    <t xml:space="preserve">  Income tax payable / (receivable)</t>
  </si>
  <si>
    <t xml:space="preserve">  Short-term borrowings</t>
  </si>
  <si>
    <t xml:space="preserve">  Bank overdraft</t>
  </si>
  <si>
    <t xml:space="preserve">Total current liabilities</t>
  </si>
  <si>
    <t xml:space="preserve">Total liabilities</t>
  </si>
  <si>
    <t xml:space="preserve">TOTAL EQUITY AND LIABILITIES</t>
  </si>
  <si>
    <t xml:space="preserve">Check: assets less equity and liabilities (must be zero)</t>
  </si>
  <si>
    <t xml:space="preserve">Debit balances on VAT / income tax control accounts show as negative liabilities (i.e. refunds due). Management presentation - net basis.</t>
  </si>
  <si>
    <t xml:space="preserve">Cash Flow Statement (indirect method)</t>
  </si>
  <si>
    <t xml:space="preserve">Cash flows from operating activities</t>
  </si>
  <si>
    <t xml:space="preserve">  Net profit for the period</t>
  </si>
  <si>
    <t xml:space="preserve">  Add back: depreciation and amortisation</t>
  </si>
  <si>
    <t xml:space="preserve">  (Increase) / decrease in inventory</t>
  </si>
  <si>
    <t xml:space="preserve">  (Increase) / decrease in trade receivables</t>
  </si>
  <si>
    <t xml:space="preserve">  (Increase) / decrease in other receivables and prepayments</t>
  </si>
  <si>
    <t xml:space="preserve">  Increase / (decrease) in trade payables</t>
  </si>
  <si>
    <t xml:space="preserve">  Increase / (decrease) in other payables and accruals</t>
  </si>
  <si>
    <t xml:space="preserve">  Increase / (decrease) in VAT payable</t>
  </si>
  <si>
    <t xml:space="preserve">  Increase / (decrease) in payroll taxes payable</t>
  </si>
  <si>
    <t xml:space="preserve">  Increase / (decrease) in income tax payable</t>
  </si>
  <si>
    <t xml:space="preserve">Net cash from operating activities</t>
  </si>
  <si>
    <t xml:space="preserve">Cash flows from investing activities</t>
  </si>
  <si>
    <t xml:space="preserve">  Purchase of property, plant, equipment and intangibles (net of disposals)</t>
  </si>
  <si>
    <t xml:space="preserve">Net cash from investing activities</t>
  </si>
  <si>
    <t xml:space="preserve">Cash flows from financing activities</t>
  </si>
  <si>
    <t xml:space="preserve">  Short-term borrowings raised / (repaid)</t>
  </si>
  <si>
    <t xml:space="preserve">  Long-term borrowings raised / (repaid)</t>
  </si>
  <si>
    <t xml:space="preserve">  Shareholder loans advanced / (repaid)</t>
  </si>
  <si>
    <t xml:space="preserve">  Share capital issued</t>
  </si>
  <si>
    <t xml:space="preserve">  Dividends, drawings and other equity movements</t>
  </si>
  <si>
    <t xml:space="preserve">Net cash from financing activities</t>
  </si>
  <si>
    <t xml:space="preserve">Net increase / (decrease) in cash and cash equivalents</t>
  </si>
  <si>
    <t xml:space="preserve">Opening cash and cash equivalents (net of overdraft)</t>
  </si>
  <si>
    <t xml:space="preserve">Closing cash and cash equivalents</t>
  </si>
  <si>
    <t xml:space="preserve">Per balance sheet (cash less overdraft)</t>
  </si>
  <si>
    <t xml:space="preserve">Difference (must be zero)</t>
  </si>
  <si>
    <t xml:space="preserve">Derived from movements in the trial balance. Interest and tax are shown within operating activities. Capital expenditure is net of disposals (profit/loss on disposal is not separated).</t>
  </si>
  <si>
    <t xml:space="preserve">KPI dashboard</t>
  </si>
  <si>
    <t xml:space="preserve">Key performance indicator</t>
  </si>
  <si>
    <t xml:space="preserve">Month</t>
  </si>
  <si>
    <t xml:space="preserve">YTD / at period end</t>
  </si>
  <si>
    <t xml:space="preserve">Target (edit)</t>
  </si>
  <si>
    <t xml:space="preserve">Better when</t>
  </si>
  <si>
    <t xml:space="preserve">How it is calculated</t>
  </si>
  <si>
    <t xml:space="preserve">Profitability</t>
  </si>
  <si>
    <t xml:space="preserve">Revenue vs budget</t>
  </si>
  <si>
    <t xml:space="preserve">Higher</t>
  </si>
  <si>
    <t xml:space="preserve">Actual revenue / budget revenue</t>
  </si>
  <si>
    <t xml:space="preserve">Gross profit margin</t>
  </si>
  <si>
    <t xml:space="preserve">Gross profit / revenue</t>
  </si>
  <si>
    <t xml:space="preserve">Operating expenses as % of revenue</t>
  </si>
  <si>
    <t xml:space="preserve">Lower</t>
  </si>
  <si>
    <t xml:space="preserve">Total operating expenses / revenue</t>
  </si>
  <si>
    <t xml:space="preserve">EBITDA margin</t>
  </si>
  <si>
    <t xml:space="preserve">EBITDA / revenue</t>
  </si>
  <si>
    <t xml:space="preserve">Net profit margin</t>
  </si>
  <si>
    <t xml:space="preserve">Net profit / revenue</t>
  </si>
  <si>
    <t xml:space="preserve">Net profit vs budget</t>
  </si>
  <si>
    <t xml:space="preserve">Actual net profit / budget net profit</t>
  </si>
  <si>
    <t xml:space="preserve">Liquidity (at period end)</t>
  </si>
  <si>
    <t xml:space="preserve">Current ratio</t>
  </si>
  <si>
    <t xml:space="preserve">Current assets / current liabilities</t>
  </si>
  <si>
    <t xml:space="preserve">Quick ratio</t>
  </si>
  <si>
    <t xml:space="preserve">(Current assets - inventory) / current liabilities</t>
  </si>
  <si>
    <t xml:space="preserve">Net cash and bank (R)</t>
  </si>
  <si>
    <t xml:space="preserve">Cash and bank less overdraft</t>
  </si>
  <si>
    <t xml:space="preserve">Months of operating cost cover</t>
  </si>
  <si>
    <t xml:space="preserve">Net cash / average monthly (cost of sales + operating expenses) year to date</t>
  </si>
  <si>
    <t xml:space="preserve">Working capital (days)</t>
  </si>
  <si>
    <t xml:space="preserve">Debtor days</t>
  </si>
  <si>
    <t xml:space="preserve">Trade receivables / (YTD revenue incl. VAT) x days YTD</t>
  </si>
  <si>
    <t xml:space="preserve">Inventory days</t>
  </si>
  <si>
    <t xml:space="preserve">Inventory / YTD cost of sales x days YTD</t>
  </si>
  <si>
    <t xml:space="preserve">Creditor days (on cost of sales)</t>
  </si>
  <si>
    <t xml:space="preserve">Trade payables / (YTD cost of sales incl. VAT) x days YTD. Approximation: payables also include opex suppliers.</t>
  </si>
  <si>
    <t xml:space="preserve">Cash conversion cycle (days)</t>
  </si>
  <si>
    <t xml:space="preserve">Debtor days + inventory days - creditor days</t>
  </si>
  <si>
    <t xml:space="preserve">Gearing and cover</t>
  </si>
  <si>
    <t xml:space="preserve">Debt-to-equity</t>
  </si>
  <si>
    <t xml:space="preserve">(Short + long-term borrowings + overdraft) / total equity. Shareholder loans excluded.</t>
  </si>
  <si>
    <t xml:space="preserve">Interest cover</t>
  </si>
  <si>
    <t xml:space="preserve">YTD operating profit (EBIT) / YTD finance costs</t>
  </si>
  <si>
    <t xml:space="preserve">Targets in yellow are generic starting points - set them to suit the client's industry and size. Status compares the YTD / period-end figure with the target.</t>
  </si>
  <si>
    <t xml:space="preserve">Commentary and compliance checklist</t>
  </si>
  <si>
    <t xml:space="preserve">Column B is a draft written from the numbers. Use it as a starting point and write the final commentary in column C.</t>
  </si>
  <si>
    <t xml:space="preserve">Topic</t>
  </si>
  <si>
    <t xml:space="preserve">Draft from the numbers (automatic)</t>
  </si>
  <si>
    <t xml:space="preserve">Accountant's commentary (edit)</t>
  </si>
  <si>
    <t xml:space="preserve">Headline</t>
  </si>
  <si>
    <t xml:space="preserve">Gross margin</t>
  </si>
  <si>
    <t xml:space="preserve">Operating costs</t>
  </si>
  <si>
    <t xml:space="preserve">Cash and working capital</t>
  </si>
  <si>
    <t xml:space="preserve">Balance sheet and funding</t>
  </si>
  <si>
    <t xml:space="preserve">Risks and issues</t>
  </si>
  <si>
    <t xml:space="preserve">Manual - write your own.</t>
  </si>
  <si>
    <t xml:space="preserve">Actions for next month</t>
  </si>
  <si>
    <t xml:space="preserve">Tax and compliance notes</t>
  </si>
  <si>
    <t xml:space="preserve">Provisional tax, VAT, PAYE/UIF/SDL, CIPC and other deadlines due.</t>
  </si>
  <si>
    <t xml:space="preserve">Why this matters: monthly management accounts are the best stepping stone to a smooth year-end, accurate provisional tax estimates and fewer SARS surprises. Need help? Visit llba.co.za</t>
  </si>
  <si>
    <t xml:space="preserve">Month-end close and compliance checklist</t>
  </si>
  <si>
    <t xml:space="preserve">Item</t>
  </si>
  <si>
    <t xml:space="preserve">Reference / what to check</t>
  </si>
  <si>
    <t xml:space="preserve">Bank reconciliations completed</t>
  </si>
  <si>
    <t xml:space="preserve">All bank accounts reconciled to statements at month end</t>
  </si>
  <si>
    <t xml:space="preserve">Debtors reconciled to age analysis</t>
  </si>
  <si>
    <t xml:space="preserve">Control account agrees to age analysis; doubtful debts considered</t>
  </si>
  <si>
    <t xml:space="preserve">Creditors reconciled to supplier statements</t>
  </si>
  <si>
    <t xml:space="preserve">Control account agrees to supplier statements</t>
  </si>
  <si>
    <t xml:space="preserve">Inventory reconciled / counted</t>
  </si>
  <si>
    <t xml:space="preserve">Stock records agree to the general ledger</t>
  </si>
  <si>
    <t xml:space="preserve">Payroll reconciled</t>
  </si>
  <si>
    <t xml:space="preserve">Payroll report agrees to the ledger</t>
  </si>
  <si>
    <t xml:space="preserve">EMP201 submitted and paid</t>
  </si>
  <si>
    <t xml:space="preserve">PAYE, UIF and SDL - see key dates below</t>
  </si>
  <si>
    <t xml:space="preserve">VAT control reconciled</t>
  </si>
  <si>
    <t xml:space="preserve">VAT control agrees to the VAT201 return</t>
  </si>
  <si>
    <t xml:space="preserve">VAT201 submitted and paid</t>
  </si>
  <si>
    <t xml:space="preserve">Only in VAT period-end months - see key dates below</t>
  </si>
  <si>
    <t xml:space="preserve">Loans and finance agreements reconciled</t>
  </si>
  <si>
    <t xml:space="preserve">Balances agree to lender statements</t>
  </si>
  <si>
    <t xml:space="preserve">Fixed asset register updated</t>
  </si>
  <si>
    <t xml:space="preserve">Additions, disposals and depreciation posted</t>
  </si>
  <si>
    <t xml:space="preserve">SARS eFiling statement of account reviewed</t>
  </si>
  <si>
    <t xml:space="preserve">Check for outstanding returns, penalties, interest</t>
  </si>
  <si>
    <t xml:space="preserve">Provisional tax (IRP6) estimate reviewed</t>
  </si>
  <si>
    <t xml:space="preserve">1st, 2nd and optional 3rd (top-up) period - see key dates below</t>
  </si>
  <si>
    <t xml:space="preserve">Management accounts reviewed by accountant</t>
  </si>
  <si>
    <t xml:space="preserve">Reasonableness, variances, commentary signed off</t>
  </si>
  <si>
    <t xml:space="preserve">SARS key dates for this reporting period (calculated from Setup)</t>
  </si>
  <si>
    <t xml:space="preserve">Notes</t>
  </si>
  <si>
    <t xml:space="preserve">Date</t>
  </si>
  <si>
    <t xml:space="preserve">Is the reporting month a VAT period end?</t>
  </si>
  <si>
    <t xml:space="preserve">Based on VAT filing category on the Setup tab.</t>
  </si>
  <si>
    <t xml:space="preserve">VAT201 due - eFiling return and payment</t>
  </si>
  <si>
    <t xml:space="preserve">Last business day of the month after the period end (SARS). Public holidays are not excluded - confirm on the SARS calendar.</t>
  </si>
  <si>
    <t xml:space="preserve">VAT201 due - manual submission, or payment outside eFiling</t>
  </si>
  <si>
    <t xml:space="preserve">25th of the month after the period end, or the last business day before it (SARS).</t>
  </si>
  <si>
    <t xml:space="preserve">EMP201 (PAYE, UIF, SDL) for the reporting month</t>
  </si>
  <si>
    <t xml:space="preserve">Due on the 7th of the following month, or the last business day before it.</t>
  </si>
  <si>
    <t xml:space="preserve">Provisional tax - 1st period (IRP6)</t>
  </si>
  <si>
    <t xml:space="preserve">Within six months of the start of the year of assessment (SARS).</t>
  </si>
  <si>
    <t xml:space="preserve">Provisional tax - 2nd period (IRP6)</t>
  </si>
  <si>
    <t xml:space="preserve">No later than the last day of the year of assessment (SARS).</t>
  </si>
  <si>
    <t xml:space="preserve">Provisional tax - 3rd period (top-up, voluntary)</t>
  </si>
  <si>
    <t xml:space="preserve">Six months after year-end (seven months - 30 September - for a February year-end) (SARS). Optional top-up payment.</t>
  </si>
  <si>
    <t xml:space="preserve">Always confirm dates against the SARS calendar (sars.gov.za). If a due date falls on a weekend or public holiday, SARS generally requires payment on the last business day before it.</t>
  </si>
  <si>
    <t xml:space="preserve">Overall status</t>
  </si>
  <si>
    <t xml:space="preserve">Check</t>
  </si>
  <si>
    <t xml:space="preserve">Value</t>
  </si>
  <si>
    <t xml:space="preserve">Result</t>
  </si>
  <si>
    <t xml:space="preserve">What to do if it fails</t>
  </si>
  <si>
    <t xml:space="preserve">Trial balance: opening column sums to zero</t>
  </si>
  <si>
    <t xml:space="preserve">Debits must equal credits. Re-export the trial balance for that month, or check for missing accounts / sign errors.</t>
  </si>
  <si>
    <t xml:space="preserve">Trial balance: month 1 sums to zero</t>
  </si>
  <si>
    <t xml:space="preserve">Trial balance: month 2 sums to zero</t>
  </si>
  <si>
    <t xml:space="preserve">Trial balance: month 3 sums to zero</t>
  </si>
  <si>
    <t xml:space="preserve">Trial balance: month 4 sums to zero</t>
  </si>
  <si>
    <t xml:space="preserve">Trial balance: month 5 sums to zero</t>
  </si>
  <si>
    <t xml:space="preserve">Trial balance: month 6 sums to zero</t>
  </si>
  <si>
    <t xml:space="preserve">Trial balance: month 7 sums to zero</t>
  </si>
  <si>
    <t xml:space="preserve">Trial balance: month 8 sums to zero</t>
  </si>
  <si>
    <t xml:space="preserve">Trial balance: month 9 sums to zero</t>
  </si>
  <si>
    <t xml:space="preserve">Trial balance: month 10 sums to zero</t>
  </si>
  <si>
    <t xml:space="preserve">Trial balance: month 11 sums to zero</t>
  </si>
  <si>
    <t xml:space="preserve">Trial balance: month 12 sums to zero</t>
  </si>
  <si>
    <t xml:space="preserve">Accounts with balances but no valid report line</t>
  </si>
  <si>
    <t xml:space="preserve">Map every account that has a balance to a report line (Trial Balance tab, column C).</t>
  </si>
  <si>
    <t xml:space="preserve">Opening balances on income statement accounts (must be zero)</t>
  </si>
  <si>
    <t xml:space="preserve">Opening column is for balance sheet accounts only. Retained earnings should already include last year's profit.</t>
  </si>
  <si>
    <t xml:space="preserve">Balance sheet balances (selected month)</t>
  </si>
  <si>
    <t xml:space="preserve">Check mapping of equity accounts and that the trial balance for the month balances.</t>
  </si>
  <si>
    <t xml:space="preserve">Cash flow reconciles to balance sheet - month</t>
  </si>
  <si>
    <t xml:space="preserve">Check that cash and overdraft accounts are mapped to 'Cash and bank' / 'Bank overdraft'.</t>
  </si>
  <si>
    <t xml:space="preserve">Cash flow reconciles to balance sheet - year to date</t>
  </si>
  <si>
    <t xml:space="preserve">As above.</t>
  </si>
  <si>
    <t xml:space="preserve">Reporting month has trial balance data</t>
  </si>
  <si>
    <t xml:space="preserve">Enter the year-to-date trial balance for the reporting month, or change the reporting month on the Setup tab.</t>
  </si>
  <si>
    <t xml:space="preserve">Budget loaded</t>
  </si>
  <si>
    <t xml:space="preserve">Variance columns need a budget (Budget tab).</t>
  </si>
  <si>
    <t xml:space="preserve">Calculation engine - do not edit</t>
  </si>
  <si>
    <t xml:space="preserve">All statements read from this sheet. Blocks: A raw year-to-date balances (Dr+/Cr-); B P&amp;L year-to-date (presentation sign); C P&amp;L monthly; D budget monthly; E budget year-to-date; F cash-flow effect by balance-sheet line.</t>
  </si>
  <si>
    <t xml:space="preserve">Opening</t>
  </si>
  <si>
    <t xml:space="preserve">A. Raw year-to-date balances (Dr +, Cr -)</t>
  </si>
  <si>
    <t xml:space="preserve">Stmt</t>
  </si>
  <si>
    <t xml:space="preserve">Sign</t>
  </si>
  <si>
    <t xml:space="preserve">IS</t>
  </si>
  <si>
    <t xml:space="preserve">Net profit year-to-date</t>
  </si>
  <si>
    <t xml:space="preserve">Net cash and cash equivalents (cash less overdraft), raw</t>
  </si>
  <si>
    <t xml:space="preserve">Net profit for the month</t>
  </si>
  <si>
    <t xml:space="preserve">B. Income statement year-to-date (presentation sign)</t>
  </si>
  <si>
    <t xml:space="preserve">C. Income statement - month</t>
  </si>
  <si>
    <t xml:space="preserve">D. Budget - month</t>
  </si>
  <si>
    <t xml:space="preserve">E. Budget - year-to-date</t>
  </si>
  <si>
    <t xml:space="preserve">F. Cash-flow effect by balance-sheet line, month (increase in asset = outflow)</t>
  </si>
  <si>
    <t xml:space="preserve">Report line mapping</t>
  </si>
  <si>
    <t xml:space="preserve">Every trial balance account is mapped to one of these report lines. Do not rename lines here - the statements are built on these names.</t>
  </si>
  <si>
    <t xml:space="preserve">Statement</t>
  </si>
  <si>
    <t xml:space="preserve">Section</t>
  </si>
  <si>
    <t xml:space="preserve">Presentation sign</t>
  </si>
  <si>
    <t xml:space="preserve">Order</t>
  </si>
  <si>
    <t xml:space="preserve">Income</t>
  </si>
  <si>
    <t xml:space="preserve">Finance</t>
  </si>
  <si>
    <t xml:space="preserve">Tax</t>
  </si>
  <si>
    <t xml:space="preserve">Presentation sign: +1 = debit-natural (assets, expenses); -1 = credit-natural (income, liabilities, equity).</t>
  </si>
</sst>
</file>

<file path=xl/styles.xml><?xml version="1.0" encoding="utf-8"?>
<styleSheet xmlns="http://schemas.openxmlformats.org/spreadsheetml/2006/main">
  <numFmts count="12">
    <numFmt numFmtId="164" formatCode="General"/>
    <numFmt numFmtId="165" formatCode="dd\ mmm\ yyyy"/>
    <numFmt numFmtId="166" formatCode="0.0%"/>
    <numFmt numFmtId="167" formatCode="0"/>
    <numFmt numFmtId="168" formatCode="mmm\-yy"/>
    <numFmt numFmtId="169" formatCode="General"/>
    <numFmt numFmtId="170" formatCode="#,##0;\(#,##0\);\-"/>
    <numFmt numFmtId="171" formatCode="0.0%;\(0.0%\);\-"/>
    <numFmt numFmtId="172" formatCode="#,##0.00;\(#,##0.00\);\-"/>
    <numFmt numFmtId="173" formatCode="0.00\x;\(0.00&quot;x)&quot;;\-"/>
    <numFmt numFmtId="174" formatCode="0.0;\(0.0\);\-"/>
    <numFmt numFmtId="175" formatCode="0;\(0\);\-"/>
  </numFmts>
  <fonts count="23">
    <font>
      <sz val="11"/>
      <color theme="1"/>
      <name val="Calibri"/>
      <family val="2"/>
      <charset val="1"/>
    </font>
    <font>
      <sz val="10"/>
      <name val="Arial"/>
      <family val="0"/>
    </font>
    <font>
      <sz val="10"/>
      <name val="Arial"/>
      <family val="0"/>
    </font>
    <font>
      <sz val="10"/>
      <name val="Arial"/>
      <family val="0"/>
    </font>
    <font>
      <b val="true"/>
      <sz val="18"/>
      <color rgb="FF1F3864"/>
      <name val="Arial"/>
      <family val="0"/>
      <charset val="1"/>
    </font>
    <font>
      <i val="true"/>
      <sz val="10"/>
      <color rgb="FF1F7A8C"/>
      <name val="Arial"/>
      <family val="0"/>
      <charset val="1"/>
    </font>
    <font>
      <i val="true"/>
      <u val="single"/>
      <sz val="10"/>
      <color rgb="FF0563C1"/>
      <name val="Arial"/>
      <family val="0"/>
      <charset val="1"/>
    </font>
    <font>
      <b val="true"/>
      <sz val="10"/>
      <color rgb="FF9C0006"/>
      <name val="Arial"/>
      <family val="0"/>
      <charset val="1"/>
    </font>
    <font>
      <b val="true"/>
      <sz val="12"/>
      <color rgb="FF1F7A8C"/>
      <name val="Arial"/>
      <family val="0"/>
      <charset val="1"/>
    </font>
    <font>
      <sz val="10"/>
      <color rgb="FF000000"/>
      <name val="Arial"/>
      <family val="0"/>
      <charset val="1"/>
    </font>
    <font>
      <b val="true"/>
      <sz val="10"/>
      <color rgb="FF000000"/>
      <name val="Arial"/>
      <family val="0"/>
      <charset val="1"/>
    </font>
    <font>
      <i val="true"/>
      <sz val="10"/>
      <color rgb="FF555555"/>
      <name val="Arial"/>
      <family val="0"/>
      <charset val="1"/>
    </font>
    <font>
      <sz val="10"/>
      <color rgb="FF0000FF"/>
      <name val="Arial"/>
      <family val="0"/>
      <charset val="1"/>
    </font>
    <font>
      <u val="single"/>
      <sz val="10"/>
      <color rgb="FF0563C1"/>
      <name val="Arial"/>
      <family val="0"/>
      <charset val="1"/>
    </font>
    <font>
      <b val="true"/>
      <sz val="14"/>
      <color rgb="FF1F3864"/>
      <name val="Arial"/>
      <family val="0"/>
      <charset val="1"/>
    </font>
    <font>
      <b val="true"/>
      <sz val="10"/>
      <color rgb="FF1F7A8C"/>
      <name val="Arial"/>
      <family val="0"/>
      <charset val="1"/>
    </font>
    <font>
      <b val="true"/>
      <sz val="10"/>
      <color rgb="FFFFFFFF"/>
      <name val="Arial"/>
      <family val="0"/>
      <charset val="1"/>
    </font>
    <font>
      <i val="true"/>
      <sz val="10"/>
      <color rgb="FF808080"/>
      <name val="Arial"/>
      <family val="0"/>
      <charset val="1"/>
    </font>
    <font>
      <sz val="10"/>
      <color rgb="FF808080"/>
      <name val="Arial"/>
      <family val="0"/>
      <charset val="1"/>
    </font>
    <font>
      <b val="true"/>
      <sz val="9"/>
      <color rgb="FF000000"/>
      <name val="Arial"/>
      <family val="0"/>
      <charset val="1"/>
    </font>
    <font>
      <i val="true"/>
      <u val="single"/>
      <sz val="9"/>
      <color rgb="FF0563C1"/>
      <name val="Arial"/>
      <family val="0"/>
      <charset val="1"/>
    </font>
    <font>
      <i val="true"/>
      <sz val="10"/>
      <color rgb="FF000000"/>
      <name val="Arial"/>
      <family val="0"/>
      <charset val="1"/>
    </font>
    <font>
      <b val="true"/>
      <sz val="11"/>
      <color rgb="FF1F7A8C"/>
      <name val="Arial"/>
      <family val="0"/>
      <charset val="1"/>
    </font>
  </fonts>
  <fills count="7">
    <fill>
      <patternFill patternType="none"/>
    </fill>
    <fill>
      <patternFill patternType="gray125"/>
    </fill>
    <fill>
      <patternFill patternType="solid">
        <fgColor rgb="FFFFC7CE"/>
        <bgColor rgb="FFFFEB9C"/>
      </patternFill>
    </fill>
    <fill>
      <patternFill patternType="solid">
        <fgColor rgb="FFFFF8D6"/>
        <bgColor rgb="FFF2F2F2"/>
      </patternFill>
    </fill>
    <fill>
      <patternFill patternType="solid">
        <fgColor rgb="FF1F3864"/>
        <bgColor rgb="FF333399"/>
      </patternFill>
    </fill>
    <fill>
      <patternFill patternType="solid">
        <fgColor rgb="FFF2F2F2"/>
        <bgColor rgb="FFFFF8D6"/>
      </patternFill>
    </fill>
    <fill>
      <patternFill patternType="solid">
        <fgColor rgb="FF1F7A8C"/>
        <bgColor rgb="FF008080"/>
      </patternFill>
    </fill>
  </fills>
  <borders count="3">
    <border diagonalUp="false" diagonalDown="false">
      <left/>
      <right/>
      <top/>
      <bottom/>
      <diagonal/>
    </border>
    <border diagonalUp="false" diagonalDown="false">
      <left/>
      <right/>
      <top style="thin">
        <color rgb="FF999999"/>
      </top>
      <bottom/>
      <diagonal/>
    </border>
    <border diagonalUp="false" diagonalDown="false">
      <left/>
      <right/>
      <top style="thin">
        <color rgb="FF999999"/>
      </top>
      <bottom style="double">
        <color rgb="FF44444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2" fillId="3" borderId="0" xfId="0" applyFont="true" applyBorder="false" applyAlignment="true" applyProtection="false">
      <alignment horizontal="general" vertical="center" textRotation="0" wrapText="fals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13" fillId="0" borderId="0" xfId="0" applyFont="true" applyBorder="false" applyAlignment="true" applyProtection="false">
      <alignment horizontal="general" vertical="center" textRotation="0" wrapText="false" indent="0" shrinkToFit="false"/>
      <protection locked="true" hidden="false"/>
    </xf>
    <xf numFmtId="164" fontId="14" fillId="0" borderId="0" xfId="0" applyFont="true" applyBorder="false" applyAlignment="true" applyProtection="false">
      <alignment horizontal="general" vertical="center" textRotation="0" wrapText="false" indent="0" shrinkToFit="false"/>
      <protection locked="true" hidden="false"/>
    </xf>
    <xf numFmtId="164" fontId="11" fillId="0" borderId="0" xfId="0" applyFont="true" applyBorder="false" applyAlignment="true" applyProtection="false">
      <alignment horizontal="general" vertical="center" textRotation="0" wrapText="false" indent="0" shrinkToFit="false"/>
      <protection locked="true" hidden="false"/>
    </xf>
    <xf numFmtId="164" fontId="10" fillId="0" borderId="0" xfId="0" applyFont="true" applyBorder="false" applyAlignment="true" applyProtection="false">
      <alignment horizontal="general" vertical="center" textRotation="0" wrapText="false" indent="0" shrinkToFit="false"/>
      <protection locked="true" hidden="false"/>
    </xf>
    <xf numFmtId="164" fontId="12" fillId="3" borderId="0" xfId="0" applyFont="true" applyBorder="false" applyAlignment="true" applyProtection="true">
      <alignment horizontal="left" vertical="center" textRotation="0" wrapText="false" indent="0" shrinkToFit="false"/>
      <protection locked="false" hidden="false"/>
    </xf>
    <xf numFmtId="165" fontId="12" fillId="3" borderId="0" xfId="0" applyFont="true" applyBorder="false" applyAlignment="true" applyProtection="true">
      <alignment horizontal="left" vertical="center" textRotation="0" wrapText="false" indent="0" shrinkToFit="false"/>
      <protection locked="false" hidden="false"/>
    </xf>
    <xf numFmtId="166" fontId="12" fillId="3" borderId="0" xfId="0" applyFont="true" applyBorder="false" applyAlignment="true" applyProtection="true">
      <alignment horizontal="left" vertical="center" textRotation="0" wrapText="false" indent="0" shrinkToFit="false"/>
      <protection locked="false" hidden="false"/>
    </xf>
    <xf numFmtId="164" fontId="15" fillId="0" borderId="0" xfId="0" applyFont="true" applyBorder="false" applyAlignment="true" applyProtection="false">
      <alignment horizontal="general" vertical="center" textRotation="0" wrapText="false" indent="0" shrinkToFit="false"/>
      <protection locked="true" hidden="false"/>
    </xf>
    <xf numFmtId="165" fontId="9" fillId="0" borderId="0" xfId="0" applyFont="true" applyBorder="false" applyAlignment="true" applyProtection="false">
      <alignment horizontal="left" vertical="center" textRotation="0" wrapText="false" indent="0" shrinkToFit="false"/>
      <protection locked="true" hidden="false"/>
    </xf>
    <xf numFmtId="164" fontId="9" fillId="0" borderId="0" xfId="0" applyFont="true" applyBorder="false" applyAlignment="true" applyProtection="false">
      <alignment horizontal="left" vertical="center" textRotation="0" wrapText="false" indent="0" shrinkToFit="false"/>
      <protection locked="true" hidden="false"/>
    </xf>
    <xf numFmtId="167" fontId="9" fillId="0" borderId="0" xfId="0" applyFont="true" applyBorder="false" applyAlignment="true" applyProtection="false">
      <alignment horizontal="left" vertical="center" textRotation="0" wrapText="false" indent="0" shrinkToFit="false"/>
      <protection locked="true" hidden="false"/>
    </xf>
    <xf numFmtId="166" fontId="9" fillId="0" borderId="0" xfId="0" applyFont="true" applyBorder="false" applyAlignment="true" applyProtection="false">
      <alignment horizontal="left" vertical="center" textRotation="0" wrapText="false" indent="0" shrinkToFit="false"/>
      <protection locked="true" hidden="false"/>
    </xf>
    <xf numFmtId="164" fontId="16" fillId="4" borderId="0" xfId="0" applyFont="true" applyBorder="false" applyAlignment="true" applyProtection="false">
      <alignment horizontal="left" vertical="center" textRotation="0" wrapText="true" indent="0" shrinkToFit="false"/>
      <protection locked="true" hidden="false"/>
    </xf>
    <xf numFmtId="164" fontId="16" fillId="4" borderId="0" xfId="0" applyFont="true" applyBorder="false" applyAlignment="true" applyProtection="false">
      <alignment horizontal="center" vertical="center" textRotation="0" wrapText="true" indent="0" shrinkToFit="false"/>
      <protection locked="true" hidden="false"/>
    </xf>
    <xf numFmtId="164" fontId="9" fillId="0" borderId="0" xfId="0" applyFont="true" applyBorder="false" applyAlignment="true" applyProtection="false">
      <alignment horizontal="center" vertical="center" textRotation="0" wrapText="false" indent="0" shrinkToFit="false"/>
      <protection locked="true" hidden="false"/>
    </xf>
    <xf numFmtId="168" fontId="9" fillId="0" borderId="0" xfId="0" applyFont="true" applyBorder="false" applyAlignment="true" applyProtection="false">
      <alignment horizontal="center" vertical="center" textRotation="0" wrapText="false" indent="0" shrinkToFit="false"/>
      <protection locked="true" hidden="false"/>
    </xf>
    <xf numFmtId="169" fontId="11" fillId="0" borderId="0" xfId="0" applyFont="true" applyBorder="false" applyAlignment="true" applyProtection="false">
      <alignment horizontal="center" vertical="center" textRotation="0" wrapText="false" indent="0" shrinkToFit="false"/>
      <protection locked="true" hidden="false"/>
    </xf>
    <xf numFmtId="168" fontId="16" fillId="4" borderId="0" xfId="0" applyFont="true" applyBorder="false" applyAlignment="true" applyProtection="false">
      <alignment horizontal="center" vertical="center" textRotation="0" wrapText="false" indent="0" shrinkToFit="false"/>
      <protection locked="true" hidden="false"/>
    </xf>
    <xf numFmtId="164" fontId="17" fillId="5" borderId="0" xfId="0" applyFont="true" applyBorder="false" applyAlignment="true" applyProtection="false">
      <alignment horizontal="general" vertical="center" textRotation="0" wrapText="false" indent="0" shrinkToFit="false"/>
      <protection locked="true" hidden="false"/>
    </xf>
    <xf numFmtId="170" fontId="17" fillId="5" borderId="0" xfId="0" applyFont="true" applyBorder="false" applyAlignment="true" applyProtection="false">
      <alignment horizontal="general" vertical="center" textRotation="0" wrapText="false" indent="0" shrinkToFit="false"/>
      <protection locked="true" hidden="false"/>
    </xf>
    <xf numFmtId="164" fontId="12" fillId="3" borderId="0" xfId="0" applyFont="true" applyBorder="false" applyAlignment="true" applyProtection="true">
      <alignment horizontal="general" vertical="center" textRotation="0" wrapText="false" indent="0" shrinkToFit="false"/>
      <protection locked="false" hidden="false"/>
    </xf>
    <xf numFmtId="170" fontId="12" fillId="3" borderId="0" xfId="0" applyFont="true" applyBorder="false" applyAlignment="true" applyProtection="true">
      <alignment horizontal="general" vertical="center" textRotation="0" wrapText="false" indent="0" shrinkToFit="false"/>
      <protection locked="false" hidden="false"/>
    </xf>
    <xf numFmtId="169" fontId="18" fillId="0" borderId="0" xfId="0" applyFont="true" applyBorder="false" applyAlignment="true" applyProtection="false">
      <alignment horizontal="center" vertical="center" textRotation="0" wrapText="false" indent="0" shrinkToFit="false"/>
      <protection locked="true" hidden="false"/>
    </xf>
    <xf numFmtId="164" fontId="10" fillId="0" borderId="1" xfId="0" applyFont="true" applyBorder="true" applyAlignment="true" applyProtection="false">
      <alignment horizontal="general" vertical="center" textRotation="0" wrapText="false" indent="0" shrinkToFit="false"/>
      <protection locked="true" hidden="false"/>
    </xf>
    <xf numFmtId="164" fontId="9" fillId="0" borderId="1" xfId="0" applyFont="true" applyBorder="true" applyAlignment="true" applyProtection="false">
      <alignment horizontal="general" vertical="center" textRotation="0" wrapText="false" indent="0" shrinkToFit="false"/>
      <protection locked="true" hidden="false"/>
    </xf>
    <xf numFmtId="170" fontId="10" fillId="0" borderId="1" xfId="0" applyFont="true" applyBorder="true" applyAlignment="true" applyProtection="false">
      <alignment horizontal="general" vertical="center" textRotation="0" wrapText="false" indent="0" shrinkToFit="false"/>
      <protection locked="true" hidden="false"/>
    </xf>
    <xf numFmtId="164" fontId="10" fillId="0" borderId="0" xfId="0" applyFont="true" applyBorder="false" applyAlignment="true" applyProtection="false">
      <alignment horizontal="center" vertical="center" textRotation="0" wrapText="false" indent="0" shrinkToFit="false"/>
      <protection locked="true" hidden="false"/>
    </xf>
    <xf numFmtId="164" fontId="16" fillId="4" borderId="0" xfId="0" applyFont="true" applyBorder="false" applyAlignment="true" applyProtection="false">
      <alignment horizontal="center" vertical="center" textRotation="0" wrapText="false" indent="0" shrinkToFit="false"/>
      <protection locked="true" hidden="false"/>
    </xf>
    <xf numFmtId="170" fontId="10" fillId="0" borderId="0" xfId="0" applyFont="true" applyBorder="false" applyAlignment="true" applyProtection="false">
      <alignment horizontal="general" vertical="center" textRotation="0" wrapText="false" indent="0" shrinkToFit="false"/>
      <protection locked="true" hidden="false"/>
    </xf>
    <xf numFmtId="164" fontId="10" fillId="0" borderId="2" xfId="0" applyFont="true" applyBorder="true" applyAlignment="true" applyProtection="false">
      <alignment horizontal="general" vertical="center" textRotation="0" wrapText="false" indent="0" shrinkToFit="false"/>
      <protection locked="true" hidden="false"/>
    </xf>
    <xf numFmtId="170" fontId="10" fillId="0" borderId="2" xfId="0" applyFont="true" applyBorder="true" applyAlignment="true" applyProtection="false">
      <alignment horizontal="general" vertical="center" textRotation="0" wrapText="false" indent="0" shrinkToFit="false"/>
      <protection locked="true" hidden="false"/>
    </xf>
    <xf numFmtId="164" fontId="19" fillId="0" borderId="0" xfId="0" applyFont="true" applyBorder="false" applyAlignment="true" applyProtection="false">
      <alignment horizontal="general" vertical="center" textRotation="0" wrapText="false" indent="0" shrinkToFit="false"/>
      <protection locked="true" hidden="false"/>
    </xf>
    <xf numFmtId="164" fontId="20" fillId="0" borderId="0" xfId="0" applyFont="true" applyBorder="false" applyAlignment="true" applyProtection="false">
      <alignment horizontal="general" vertical="center" textRotation="0" wrapText="false" indent="0" shrinkToFit="false"/>
      <protection locked="true" hidden="false"/>
    </xf>
    <xf numFmtId="164" fontId="16" fillId="6" borderId="0" xfId="0" applyFont="true" applyBorder="true" applyAlignment="true" applyProtection="false">
      <alignment horizontal="center" vertical="center" textRotation="0" wrapText="false" indent="0" shrinkToFit="false"/>
      <protection locked="true" hidden="false"/>
    </xf>
    <xf numFmtId="170" fontId="9" fillId="0" borderId="0" xfId="0" applyFont="true" applyBorder="false" applyAlignment="true" applyProtection="false">
      <alignment horizontal="general" vertical="center" textRotation="0" wrapText="false" indent="0" shrinkToFit="false"/>
      <protection locked="true" hidden="false"/>
    </xf>
    <xf numFmtId="171" fontId="9" fillId="0" borderId="0" xfId="0" applyFont="true" applyBorder="false" applyAlignment="true" applyProtection="false">
      <alignment horizontal="general" vertical="center" textRotation="0" wrapText="false" indent="0" shrinkToFit="false"/>
      <protection locked="true" hidden="false"/>
    </xf>
    <xf numFmtId="171" fontId="10" fillId="0" borderId="1" xfId="0" applyFont="true" applyBorder="true" applyAlignment="true" applyProtection="false">
      <alignment horizontal="general" vertical="center" textRotation="0" wrapText="false" indent="0" shrinkToFit="false"/>
      <protection locked="true" hidden="false"/>
    </xf>
    <xf numFmtId="164" fontId="21" fillId="0" borderId="0" xfId="0" applyFont="true" applyBorder="false" applyAlignment="true" applyProtection="false">
      <alignment horizontal="general" vertical="center" textRotation="0" wrapText="false" indent="0" shrinkToFit="false"/>
      <protection locked="true" hidden="false"/>
    </xf>
    <xf numFmtId="171" fontId="21" fillId="0" borderId="0" xfId="0" applyFont="true" applyBorder="false" applyAlignment="true" applyProtection="false">
      <alignment horizontal="general" vertical="center" textRotation="0" wrapText="false" indent="0" shrinkToFit="false"/>
      <protection locked="true" hidden="false"/>
    </xf>
    <xf numFmtId="171" fontId="10" fillId="0" borderId="2" xfId="0" applyFont="true" applyBorder="true" applyAlignment="true" applyProtection="false">
      <alignment horizontal="general" vertical="center" textRotation="0" wrapText="false" indent="0" shrinkToFit="false"/>
      <protection locked="true" hidden="false"/>
    </xf>
    <xf numFmtId="165" fontId="16" fillId="4" borderId="0" xfId="0" applyFont="true" applyBorder="false" applyAlignment="true" applyProtection="false">
      <alignment horizontal="center" vertical="center" textRotation="0" wrapText="false" indent="0" shrinkToFit="false"/>
      <protection locked="true" hidden="false"/>
    </xf>
    <xf numFmtId="164" fontId="16" fillId="6" borderId="0" xfId="0" applyFont="true" applyBorder="false" applyAlignment="true" applyProtection="false">
      <alignment horizontal="general" vertical="center" textRotation="0" wrapText="false" indent="0" shrinkToFit="false"/>
      <protection locked="true" hidden="false"/>
    </xf>
    <xf numFmtId="164" fontId="9" fillId="6" borderId="0" xfId="0" applyFont="true" applyBorder="false" applyAlignment="true" applyProtection="false">
      <alignment horizontal="general" vertical="center" textRotation="0" wrapText="false" indent="0" shrinkToFit="false"/>
      <protection locked="true" hidden="false"/>
    </xf>
    <xf numFmtId="172" fontId="21" fillId="0" borderId="0" xfId="0" applyFont="true" applyBorder="false" applyAlignment="true" applyProtection="false">
      <alignment horizontal="general" vertical="center" textRotation="0" wrapText="false" indent="0" shrinkToFit="false"/>
      <protection locked="true" hidden="false"/>
    </xf>
    <xf numFmtId="170" fontId="21" fillId="0" borderId="0" xfId="0" applyFont="true" applyBorder="false" applyAlignment="true" applyProtection="false">
      <alignment horizontal="general" vertical="center" textRotation="0" wrapText="false" indent="0" shrinkToFit="false"/>
      <protection locked="true" hidden="false"/>
    </xf>
    <xf numFmtId="164" fontId="9" fillId="6" borderId="0" xfId="0" applyFont="true" applyBorder="false" applyAlignment="true" applyProtection="true">
      <alignment horizontal="general" vertical="center" textRotation="0" wrapText="false" indent="0" shrinkToFit="false"/>
      <protection locked="false" hidden="false"/>
    </xf>
    <xf numFmtId="171" fontId="9" fillId="0" borderId="0" xfId="0" applyFont="true" applyBorder="false" applyAlignment="true" applyProtection="false">
      <alignment horizontal="right" vertical="center" textRotation="0" wrapText="false" indent="0" shrinkToFit="false"/>
      <protection locked="true" hidden="false"/>
    </xf>
    <xf numFmtId="171" fontId="10" fillId="0" borderId="0" xfId="0" applyFont="true" applyBorder="false" applyAlignment="true" applyProtection="false">
      <alignment horizontal="right" vertical="center" textRotation="0" wrapText="false" indent="0" shrinkToFit="false"/>
      <protection locked="true" hidden="false"/>
    </xf>
    <xf numFmtId="171" fontId="12" fillId="3" borderId="0" xfId="0" applyFont="true" applyBorder="false" applyAlignment="true" applyProtection="true">
      <alignment horizontal="right" vertical="center" textRotation="0" wrapText="false" indent="0" shrinkToFit="false"/>
      <protection locked="false" hidden="false"/>
    </xf>
    <xf numFmtId="164" fontId="12" fillId="3" borderId="0" xfId="0" applyFont="true" applyBorder="false" applyAlignment="true" applyProtection="true">
      <alignment horizontal="center" vertical="center" textRotation="0" wrapText="false" indent="0" shrinkToFit="false"/>
      <protection locked="false" hidden="false"/>
    </xf>
    <xf numFmtId="164" fontId="11" fillId="0" borderId="0" xfId="0" applyFont="true" applyBorder="false" applyAlignment="true" applyProtection="false">
      <alignment horizontal="general" vertical="center" textRotation="0" wrapText="true" indent="0" shrinkToFit="false"/>
      <protection locked="true" hidden="false"/>
    </xf>
    <xf numFmtId="173" fontId="9" fillId="0" borderId="0" xfId="0" applyFont="true" applyBorder="false" applyAlignment="true" applyProtection="false">
      <alignment horizontal="right" vertical="center" textRotation="0" wrapText="false" indent="0" shrinkToFit="false"/>
      <protection locked="true" hidden="false"/>
    </xf>
    <xf numFmtId="173" fontId="10" fillId="0" borderId="0" xfId="0" applyFont="true" applyBorder="false" applyAlignment="true" applyProtection="false">
      <alignment horizontal="right" vertical="center" textRotation="0" wrapText="false" indent="0" shrinkToFit="false"/>
      <protection locked="true" hidden="false"/>
    </xf>
    <xf numFmtId="173" fontId="12" fillId="3" borderId="0" xfId="0" applyFont="true" applyBorder="false" applyAlignment="true" applyProtection="true">
      <alignment horizontal="right" vertical="center" textRotation="0" wrapText="false" indent="0" shrinkToFit="false"/>
      <protection locked="false" hidden="false"/>
    </xf>
    <xf numFmtId="170" fontId="9" fillId="0" borderId="0" xfId="0" applyFont="true" applyBorder="false" applyAlignment="true" applyProtection="false">
      <alignment horizontal="right" vertical="center" textRotation="0" wrapText="false" indent="0" shrinkToFit="false"/>
      <protection locked="true" hidden="false"/>
    </xf>
    <xf numFmtId="170" fontId="10" fillId="0" borderId="0" xfId="0" applyFont="true" applyBorder="false" applyAlignment="true" applyProtection="false">
      <alignment horizontal="right" vertical="center" textRotation="0" wrapText="false" indent="0" shrinkToFit="false"/>
      <protection locked="true" hidden="false"/>
    </xf>
    <xf numFmtId="170" fontId="12" fillId="3" borderId="0" xfId="0" applyFont="true" applyBorder="false" applyAlignment="true" applyProtection="true">
      <alignment horizontal="right" vertical="center" textRotation="0" wrapText="false" indent="0" shrinkToFit="false"/>
      <protection locked="false" hidden="false"/>
    </xf>
    <xf numFmtId="174" fontId="9" fillId="0" borderId="0" xfId="0" applyFont="true" applyBorder="false" applyAlignment="true" applyProtection="false">
      <alignment horizontal="right" vertical="center" textRotation="0" wrapText="false" indent="0" shrinkToFit="false"/>
      <protection locked="true" hidden="false"/>
    </xf>
    <xf numFmtId="174" fontId="10" fillId="0" borderId="0" xfId="0" applyFont="true" applyBorder="false" applyAlignment="true" applyProtection="false">
      <alignment horizontal="right" vertical="center" textRotation="0" wrapText="false" indent="0" shrinkToFit="false"/>
      <protection locked="true" hidden="false"/>
    </xf>
    <xf numFmtId="174" fontId="12" fillId="3" borderId="0" xfId="0" applyFont="true" applyBorder="false" applyAlignment="true" applyProtection="true">
      <alignment horizontal="right" vertical="center" textRotation="0" wrapText="false" indent="0" shrinkToFit="false"/>
      <protection locked="false" hidden="false"/>
    </xf>
    <xf numFmtId="175" fontId="9" fillId="0" borderId="0" xfId="0" applyFont="true" applyBorder="false" applyAlignment="true" applyProtection="false">
      <alignment horizontal="right" vertical="center" textRotation="0" wrapText="false" indent="0" shrinkToFit="false"/>
      <protection locked="true" hidden="false"/>
    </xf>
    <xf numFmtId="175" fontId="10" fillId="0" borderId="0" xfId="0" applyFont="true" applyBorder="false" applyAlignment="true" applyProtection="false">
      <alignment horizontal="right" vertical="center" textRotation="0" wrapText="false" indent="0" shrinkToFit="false"/>
      <protection locked="true" hidden="false"/>
    </xf>
    <xf numFmtId="175" fontId="12" fillId="3" borderId="0" xfId="0" applyFont="true" applyBorder="false" applyAlignment="true" applyProtection="true">
      <alignment horizontal="right" vertical="center" textRotation="0" wrapText="fals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12" fillId="3" borderId="0" xfId="0" applyFont="true" applyBorder="false" applyAlignment="true" applyProtection="true">
      <alignment horizontal="general" vertical="top" textRotation="0" wrapText="true" indent="0" shrinkToFit="false"/>
      <protection locked="false" hidden="false"/>
    </xf>
    <xf numFmtId="164" fontId="1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center" textRotation="0" wrapText="true" indent="0" shrinkToFit="false"/>
      <protection locked="true" hidden="false"/>
    </xf>
    <xf numFmtId="164" fontId="22" fillId="0" borderId="0" xfId="0" applyFont="true" applyBorder="false" applyAlignment="true" applyProtection="false">
      <alignment horizontal="general" vertical="center" textRotation="0" wrapText="false" indent="0" shrinkToFit="false"/>
      <protection locked="true" hidden="false"/>
    </xf>
    <xf numFmtId="165" fontId="10" fillId="0" borderId="0" xfId="0" applyFont="true" applyBorder="false" applyAlignment="true" applyProtection="false">
      <alignment horizontal="center" vertical="center" textRotation="0" wrapText="false" indent="0" shrinkToFit="false"/>
      <protection locked="true" hidden="false"/>
    </xf>
    <xf numFmtId="164" fontId="11" fillId="0" borderId="0" xfId="0" applyFont="true" applyBorder="true" applyAlignment="true" applyProtection="false">
      <alignment horizontal="general" vertical="center" textRotation="0" wrapText="true" indent="0" shrinkToFit="false"/>
      <protection locked="true" hidden="false"/>
    </xf>
    <xf numFmtId="172" fontId="9" fillId="0" borderId="0" xfId="0" applyFont="true" applyBorder="false" applyAlignment="true" applyProtection="false">
      <alignment horizontal="right" vertical="center" textRotation="0" wrapText="false" indent="0" shrinkToFit="false"/>
      <protection locked="true" hidden="false"/>
    </xf>
    <xf numFmtId="168" fontId="10" fillId="0" borderId="0" xfId="0" applyFont="true" applyBorder="fals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ont>
        <name val="Arial"/>
        <charset val="1"/>
        <family val="0"/>
        <b val="1"/>
        <color rgb="FF006100"/>
      </font>
      <fill>
        <patternFill>
          <bgColor rgb="FFC6EFCE"/>
        </patternFill>
      </fill>
    </dxf>
    <dxf>
      <font>
        <name val="Arial"/>
        <charset val="1"/>
        <family val="0"/>
        <b val="1"/>
        <color rgb="FF9C0006"/>
      </font>
      <fill>
        <patternFill>
          <bgColor rgb="FFFFC7CE"/>
        </patternFill>
      </fill>
    </dxf>
    <dxf>
      <font>
        <name val="Arial"/>
        <charset val="1"/>
        <family val="0"/>
        <b val="1"/>
        <color rgb="FF7F6000"/>
      </font>
      <fill>
        <patternFill>
          <bgColor rgb="FFFFEB9C"/>
        </patternFill>
      </fill>
    </dxf>
    <dxf>
      <font>
        <name val="Arial"/>
        <charset val="1"/>
        <family val="0"/>
        <color rgb="FFC00000"/>
      </font>
    </dxf>
    <dxf>
      <font>
        <name val="Arial"/>
        <charset val="1"/>
        <family val="0"/>
        <b val="1"/>
        <color rgb="FF006100"/>
        <sz val="9"/>
      </font>
    </dxf>
    <dxf>
      <font>
        <name val="Arial"/>
        <charset val="1"/>
        <family val="0"/>
        <b val="1"/>
        <color rgb="FF9C0006"/>
        <sz val="9"/>
      </font>
    </dxf>
    <dxf>
      <font>
        <name val="Arial"/>
        <charset val="1"/>
        <family val="0"/>
        <b val="1"/>
        <color rgb="FF006100"/>
      </font>
    </dxf>
    <dxf>
      <font>
        <name val="Arial"/>
        <charset val="1"/>
        <family val="0"/>
        <b val="1"/>
        <color rgb="FF9C0006"/>
      </font>
    </dxf>
  </dxfs>
  <colors>
    <indexedColors>
      <rgbColor rgb="FF000000"/>
      <rgbColor rgb="FFFFFFFF"/>
      <rgbColor rgb="FFC00000"/>
      <rgbColor rgb="FF00FF00"/>
      <rgbColor rgb="FF0000FF"/>
      <rgbColor rgb="FFFFFF00"/>
      <rgbColor rgb="FFFF00FF"/>
      <rgbColor rgb="FF00FFFF"/>
      <rgbColor rgb="FF9C0006"/>
      <rgbColor rgb="FF006100"/>
      <rgbColor rgb="FF000080"/>
      <rgbColor rgb="FF7F6000"/>
      <rgbColor rgb="FF800080"/>
      <rgbColor rgb="FF1F7A8C"/>
      <rgbColor rgb="FFC0C0C0"/>
      <rgbColor rgb="FF808080"/>
      <rgbColor rgb="FF9999FF"/>
      <rgbColor rgb="FF993366"/>
      <rgbColor rgb="FFFFF8D6"/>
      <rgbColor rgb="FFF2F2F2"/>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C00"/>
      <rgbColor rgb="FFFF9900"/>
      <rgbColor rgb="FFFF6600"/>
      <rgbColor rgb="FF555555"/>
      <rgbColor rgb="FF999999"/>
      <rgbColor rgb="FF1F3864"/>
      <rgbColor rgb="FF339966"/>
      <rgbColor rgb="FF003300"/>
      <rgbColor rgb="FF333300"/>
      <rgbColor rgb="FF993300"/>
      <rgbColor rgb="FF993366"/>
      <rgbColor rgb="FF333399"/>
      <rgbColor rgb="FF4444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llba.co.za/" TargetMode="External"/><Relationship Id="rId2" Type="http://schemas.openxmlformats.org/officeDocument/2006/relationships/hyperlink" Target="https://llba.co.za/contact?service=Management+Accounts&amp;source=template-download" TargetMode="External"/>
</Relationships>
</file>

<file path=xl/worksheets/_rels/sheet5.xml.rels><?xml version="1.0" encoding="UTF-8"?>
<Relationships xmlns="http://schemas.openxmlformats.org/package/2006/relationships"><Relationship Id="rId1" Type="http://schemas.openxmlformats.org/officeDocument/2006/relationships/hyperlink" Target="https://llba.co.za/contact?service=Financial+Statements&amp;source=template-pack" TargetMode="External"/>
</Relationships>
</file>

<file path=xl/worksheets/_rels/sheet6.xml.rels><?xml version="1.0" encoding="UTF-8"?>
<Relationships xmlns="http://schemas.openxmlformats.org/package/2006/relationships"><Relationship Id="rId1" Type="http://schemas.openxmlformats.org/officeDocument/2006/relationships/hyperlink" Target="https://llba.co.za/contact?service=Financial+Statements&amp;source=template-pack" TargetMode="External"/>
</Relationships>
</file>

<file path=xl/worksheets/_rels/sheet7.xml.rels><?xml version="1.0" encoding="UTF-8"?>
<Relationships xmlns="http://schemas.openxmlformats.org/package/2006/relationships"><Relationship Id="rId1" Type="http://schemas.openxmlformats.org/officeDocument/2006/relationships/hyperlink" Target="https://llba.co.za/contact?service=Financial+Statements&amp;source=template-pack" TargetMode="External"/>
</Relationships>
</file>

<file path=xl/worksheets/_rels/sheet8.xml.rels><?xml version="1.0" encoding="UTF-8"?>
<Relationships xmlns="http://schemas.openxmlformats.org/package/2006/relationships"><Relationship Id="rId1" Type="http://schemas.openxmlformats.org/officeDocument/2006/relationships/hyperlink" Target="https://llba.co.za/contact?service=Financial+Statements&amp;source=template-pack" TargetMode="External"/>
</Relationships>
</file>

<file path=xl/worksheets/_rels/sheet9.xml.rels><?xml version="1.0" encoding="UTF-8"?>
<Relationships xmlns="http://schemas.openxmlformats.org/package/2006/relationships"><Relationship Id="rId1" Type="http://schemas.openxmlformats.org/officeDocument/2006/relationships/hyperlink" Target="https://llba.co.za/"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5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2"/>
    <col collapsed="false" customWidth="true" hidden="false" outlineLevel="0" max="3" min="3" style="0" width="110"/>
  </cols>
  <sheetData>
    <row r="1" customFormat="false" ht="22.05" hidden="false" customHeight="false" outlineLevel="0" collapsed="false">
      <c r="B1" s="1" t="s">
        <v>0</v>
      </c>
    </row>
    <row r="2" customFormat="false" ht="15" hidden="false" customHeight="false" outlineLevel="0" collapsed="false">
      <c r="B2" s="2" t="s">
        <v>1</v>
      </c>
    </row>
    <row r="3" customFormat="false" ht="15" hidden="false" customHeight="false" outlineLevel="0" collapsed="false">
      <c r="B3" s="3" t="s">
        <v>2</v>
      </c>
    </row>
    <row r="5" customFormat="false" ht="33.75" hidden="false" customHeight="true" outlineLevel="0" collapsed="false">
      <c r="B5" s="4" t="s">
        <v>3</v>
      </c>
      <c r="C5" s="4"/>
    </row>
    <row r="7" customFormat="false" ht="15" hidden="false" customHeight="false" outlineLevel="0" collapsed="false">
      <c r="B7" s="5" t="s">
        <v>4</v>
      </c>
    </row>
    <row r="8" customFormat="false" ht="48" hidden="false" customHeight="true" outlineLevel="0" collapsed="false">
      <c r="B8" s="6" t="s">
        <v>5</v>
      </c>
      <c r="C8" s="6"/>
    </row>
    <row r="10" customFormat="false" ht="15" hidden="false" customHeight="false" outlineLevel="0" collapsed="false">
      <c r="B10" s="5" t="s">
        <v>6</v>
      </c>
    </row>
    <row r="11" customFormat="false" ht="31.5" hidden="false" customHeight="true" outlineLevel="0" collapsed="false">
      <c r="B11" s="7" t="s">
        <v>7</v>
      </c>
      <c r="C11" s="8" t="s">
        <v>8</v>
      </c>
    </row>
    <row r="12" customFormat="false" ht="31.5" hidden="false" customHeight="true" outlineLevel="0" collapsed="false">
      <c r="B12" s="7" t="s">
        <v>9</v>
      </c>
      <c r="C12" s="8" t="s">
        <v>10</v>
      </c>
    </row>
    <row r="13" customFormat="false" ht="31.5" hidden="false" customHeight="true" outlineLevel="0" collapsed="false">
      <c r="B13" s="7" t="s">
        <v>11</v>
      </c>
      <c r="C13" s="8" t="s">
        <v>12</v>
      </c>
    </row>
    <row r="14" customFormat="false" ht="31.5" hidden="false" customHeight="true" outlineLevel="0" collapsed="false">
      <c r="B14" s="7" t="s">
        <v>13</v>
      </c>
      <c r="C14" s="8" t="s">
        <v>14</v>
      </c>
    </row>
    <row r="15" customFormat="false" ht="31.5" hidden="false" customHeight="true" outlineLevel="0" collapsed="false">
      <c r="B15" s="7" t="s">
        <v>15</v>
      </c>
      <c r="C15" s="8" t="s">
        <v>16</v>
      </c>
    </row>
    <row r="16" customFormat="false" ht="31.5" hidden="false" customHeight="true" outlineLevel="0" collapsed="false">
      <c r="B16" s="7" t="s">
        <v>17</v>
      </c>
      <c r="C16" s="8" t="s">
        <v>18</v>
      </c>
    </row>
    <row r="17" customFormat="false" ht="31.5" hidden="false" customHeight="true" outlineLevel="0" collapsed="false">
      <c r="B17" s="7" t="s">
        <v>19</v>
      </c>
      <c r="C17" s="8" t="s">
        <v>20</v>
      </c>
    </row>
    <row r="19" customFormat="false" ht="15" hidden="false" customHeight="false" outlineLevel="0" collapsed="false">
      <c r="B19" s="5" t="s">
        <v>21</v>
      </c>
    </row>
    <row r="20" customFormat="false" ht="61.5" hidden="false" customHeight="true" outlineLevel="0" collapsed="false">
      <c r="B20" s="9" t="s">
        <v>22</v>
      </c>
      <c r="C20" s="8" t="s">
        <v>23</v>
      </c>
    </row>
    <row r="21" customFormat="false" ht="31.5" hidden="false" customHeight="true" outlineLevel="0" collapsed="false">
      <c r="B21" s="9" t="s">
        <v>24</v>
      </c>
      <c r="C21" s="8" t="s">
        <v>25</v>
      </c>
    </row>
    <row r="22" customFormat="false" ht="31.5" hidden="false" customHeight="true" outlineLevel="0" collapsed="false">
      <c r="B22" s="9" t="s">
        <v>26</v>
      </c>
      <c r="C22" s="8" t="s">
        <v>27</v>
      </c>
    </row>
    <row r="23" customFormat="false" ht="31.5" hidden="false" customHeight="true" outlineLevel="0" collapsed="false">
      <c r="B23" s="9" t="s">
        <v>28</v>
      </c>
      <c r="C23" s="8" t="s">
        <v>29</v>
      </c>
    </row>
    <row r="24" customFormat="false" ht="43.5" hidden="false" customHeight="true" outlineLevel="0" collapsed="false">
      <c r="B24" s="9" t="s">
        <v>30</v>
      </c>
      <c r="C24" s="8" t="s">
        <v>31</v>
      </c>
    </row>
    <row r="25" customFormat="false" ht="31.5" hidden="false" customHeight="true" outlineLevel="0" collapsed="false">
      <c r="B25" s="9" t="s">
        <v>32</v>
      </c>
      <c r="C25" s="8" t="s">
        <v>33</v>
      </c>
    </row>
    <row r="26" customFormat="false" ht="31.5" hidden="false" customHeight="true" outlineLevel="0" collapsed="false">
      <c r="B26" s="9" t="s">
        <v>34</v>
      </c>
      <c r="C26" s="8" t="s">
        <v>35</v>
      </c>
    </row>
    <row r="27" customFormat="false" ht="31.5" hidden="false" customHeight="true" outlineLevel="0" collapsed="false">
      <c r="B27" s="9" t="s">
        <v>36</v>
      </c>
      <c r="C27" s="8" t="s">
        <v>37</v>
      </c>
    </row>
    <row r="28" customFormat="false" ht="18" hidden="false" customHeight="true" outlineLevel="0" collapsed="false">
      <c r="B28" s="10" t="s">
        <v>38</v>
      </c>
      <c r="C28" s="10"/>
    </row>
    <row r="30" customFormat="false" ht="15" hidden="false" customHeight="false" outlineLevel="0" collapsed="false">
      <c r="B30" s="5" t="s">
        <v>39</v>
      </c>
    </row>
    <row r="31" customFormat="false" ht="15" hidden="false" customHeight="false" outlineLevel="0" collapsed="false">
      <c r="B31" s="11" t="s">
        <v>40</v>
      </c>
      <c r="C31" s="12" t="s">
        <v>41</v>
      </c>
    </row>
    <row r="32" customFormat="false" ht="15" hidden="false" customHeight="false" outlineLevel="0" collapsed="false">
      <c r="B32" s="12" t="s">
        <v>42</v>
      </c>
      <c r="C32" s="12" t="s">
        <v>43</v>
      </c>
    </row>
    <row r="33" customFormat="false" ht="15" hidden="false" customHeight="false" outlineLevel="0" collapsed="false">
      <c r="B33" s="12" t="s">
        <v>44</v>
      </c>
      <c r="C33" s="12" t="s">
        <v>45</v>
      </c>
    </row>
    <row r="35" customFormat="false" ht="15" hidden="false" customHeight="false" outlineLevel="0" collapsed="false">
      <c r="B35" s="5" t="s">
        <v>46</v>
      </c>
    </row>
    <row r="36" customFormat="false" ht="15.75" hidden="false" customHeight="true" outlineLevel="0" collapsed="false">
      <c r="B36" s="8" t="s">
        <v>47</v>
      </c>
      <c r="C36" s="13" t="s">
        <v>48</v>
      </c>
    </row>
    <row r="37" customFormat="false" ht="27.75" hidden="false" customHeight="true" outlineLevel="0" collapsed="false">
      <c r="B37" s="8" t="s">
        <v>49</v>
      </c>
      <c r="C37" s="13" t="s">
        <v>50</v>
      </c>
    </row>
    <row r="38" customFormat="false" ht="15.75" hidden="false" customHeight="true" outlineLevel="0" collapsed="false">
      <c r="B38" s="8" t="s">
        <v>51</v>
      </c>
      <c r="C38" s="13" t="s">
        <v>52</v>
      </c>
    </row>
    <row r="39" customFormat="false" ht="15.75" hidden="false" customHeight="true" outlineLevel="0" collapsed="false">
      <c r="B39" s="8" t="s">
        <v>53</v>
      </c>
      <c r="C39" s="13" t="s">
        <v>54</v>
      </c>
    </row>
    <row r="41" customFormat="false" ht="15" hidden="false" customHeight="false" outlineLevel="0" collapsed="false">
      <c r="B41" s="5" t="s">
        <v>55</v>
      </c>
    </row>
    <row r="42" customFormat="false" ht="63.75" hidden="false" customHeight="true" outlineLevel="0" collapsed="false">
      <c r="B42" s="6" t="s">
        <v>56</v>
      </c>
      <c r="C42" s="6"/>
    </row>
    <row r="44" customFormat="false" ht="15" hidden="false" customHeight="false" outlineLevel="0" collapsed="false">
      <c r="B44" s="5" t="s">
        <v>57</v>
      </c>
    </row>
    <row r="45" customFormat="false" ht="63.75" hidden="false" customHeight="true" outlineLevel="0" collapsed="false">
      <c r="B45" s="6" t="s">
        <v>58</v>
      </c>
      <c r="C45" s="6"/>
    </row>
    <row r="47" customFormat="false" ht="15" hidden="false" customHeight="false" outlineLevel="0" collapsed="false">
      <c r="B47" s="5" t="s">
        <v>59</v>
      </c>
    </row>
    <row r="48" customFormat="false" ht="33.75" hidden="false" customHeight="true" outlineLevel="0" collapsed="false">
      <c r="B48" s="6" t="s">
        <v>60</v>
      </c>
      <c r="C48" s="6"/>
    </row>
    <row r="49" customFormat="false" ht="15" hidden="false" customHeight="false" outlineLevel="0" collapsed="false">
      <c r="B49" s="14" t="s">
        <v>61</v>
      </c>
    </row>
    <row r="51" customFormat="false" ht="15" hidden="false" customHeight="false" outlineLevel="0" collapsed="false">
      <c r="B51" s="5" t="s">
        <v>62</v>
      </c>
    </row>
    <row r="52" customFormat="false" ht="48" hidden="false" customHeight="true" outlineLevel="0" collapsed="false">
      <c r="B52" s="10" t="s">
        <v>63</v>
      </c>
      <c r="C52" s="10"/>
    </row>
  </sheetData>
  <sheetProtection sheet="true" formatColumns="false" formatRows="false"/>
  <mergeCells count="7">
    <mergeCell ref="B5:C5"/>
    <mergeCell ref="B8:C8"/>
    <mergeCell ref="B28:C28"/>
    <mergeCell ref="B42:C42"/>
    <mergeCell ref="B45:C45"/>
    <mergeCell ref="B48:C48"/>
    <mergeCell ref="B52:C52"/>
  </mergeCells>
  <hyperlinks>
    <hyperlink ref="B3" r:id="rId1" display="Need help with monthly management accounts, annual financial statements or tax returns? Visit llba.co.za"/>
    <hyperlink ref="B49" r:id="rId2" display="https://llba.co.za/contact?service=Management+Accounts&amp;source=template-download"/>
  </hyperlinks>
  <printOptions headings="false" gridLines="false" gridLinesSet="true" horizontalCentered="true" verticalCentered="false"/>
  <pageMargins left="0.5" right="0.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&amp;LFree template by LBA Accounting - llba.co.za&amp;RPage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24"/>
    <col collapsed="false" customWidth="true" hidden="false" outlineLevel="0" max="3" min="3" style="0" width="80"/>
  </cols>
  <sheetData>
    <row r="1" customFormat="false" ht="17.35" hidden="false" customHeight="false" outlineLevel="0" collapsed="false">
      <c r="A1" s="15" t="s">
        <v>64</v>
      </c>
    </row>
    <row r="2" customFormat="false" ht="15" hidden="false" customHeight="false" outlineLevel="0" collapsed="false">
      <c r="A2" s="16" t="s">
        <v>65</v>
      </c>
    </row>
    <row r="4" customFormat="false" ht="15" hidden="false" customHeight="false" outlineLevel="0" collapsed="false">
      <c r="A4" s="17" t="s">
        <v>66</v>
      </c>
      <c r="B4" s="18" t="s">
        <v>67</v>
      </c>
      <c r="C4" s="16" t="s">
        <v>68</v>
      </c>
    </row>
    <row r="5" customFormat="false" ht="15" hidden="false" customHeight="false" outlineLevel="0" collapsed="false">
      <c r="A5" s="17" t="s">
        <v>69</v>
      </c>
      <c r="B5" s="18" t="s">
        <v>70</v>
      </c>
      <c r="C5" s="16" t="s">
        <v>71</v>
      </c>
    </row>
    <row r="6" customFormat="false" ht="15" hidden="false" customHeight="false" outlineLevel="0" collapsed="false">
      <c r="A6" s="17" t="s">
        <v>72</v>
      </c>
      <c r="B6" s="19" t="n">
        <v>46387</v>
      </c>
      <c r="C6" s="16" t="s">
        <v>73</v>
      </c>
    </row>
    <row r="7" customFormat="false" ht="15" hidden="false" customHeight="false" outlineLevel="0" collapsed="false">
      <c r="A7" s="17" t="s">
        <v>74</v>
      </c>
      <c r="B7" s="18" t="n">
        <v>9</v>
      </c>
      <c r="C7" s="16" t="s">
        <v>75</v>
      </c>
    </row>
    <row r="8" customFormat="false" ht="15" hidden="false" customHeight="false" outlineLevel="0" collapsed="false">
      <c r="A8" s="17" t="s">
        <v>76</v>
      </c>
      <c r="B8" s="18" t="s">
        <v>77</v>
      </c>
      <c r="C8" s="16" t="s">
        <v>78</v>
      </c>
    </row>
    <row r="9" customFormat="false" ht="15" hidden="false" customHeight="false" outlineLevel="0" collapsed="false">
      <c r="A9" s="17" t="s">
        <v>79</v>
      </c>
      <c r="B9" s="20" t="n">
        <v>0.15</v>
      </c>
      <c r="C9" s="16" t="s">
        <v>80</v>
      </c>
    </row>
    <row r="10" customFormat="false" ht="15" hidden="false" customHeight="false" outlineLevel="0" collapsed="false">
      <c r="A10" s="17" t="s">
        <v>81</v>
      </c>
      <c r="B10" s="18" t="s">
        <v>82</v>
      </c>
      <c r="C10" s="16" t="s">
        <v>83</v>
      </c>
    </row>
    <row r="11" customFormat="false" ht="15" hidden="false" customHeight="false" outlineLevel="0" collapsed="false">
      <c r="A11" s="17" t="s">
        <v>84</v>
      </c>
      <c r="B11" s="18" t="s">
        <v>85</v>
      </c>
      <c r="C11" s="16" t="s">
        <v>86</v>
      </c>
    </row>
    <row r="12" customFormat="false" ht="15" hidden="false" customHeight="false" outlineLevel="0" collapsed="false">
      <c r="A12" s="17" t="s">
        <v>87</v>
      </c>
      <c r="B12" s="19" t="n">
        <v>46305</v>
      </c>
      <c r="C12" s="16"/>
    </row>
    <row r="13" customFormat="false" ht="15" hidden="false" customHeight="false" outlineLevel="0" collapsed="false">
      <c r="A13" s="17" t="s">
        <v>88</v>
      </c>
      <c r="B13" s="18" t="s">
        <v>89</v>
      </c>
      <c r="C13" s="16" t="s">
        <v>90</v>
      </c>
    </row>
    <row r="14" customFormat="false" ht="15" hidden="false" customHeight="false" outlineLevel="0" collapsed="false">
      <c r="A14" s="21" t="s">
        <v>91</v>
      </c>
    </row>
    <row r="15" customFormat="false" ht="15" hidden="false" customHeight="false" outlineLevel="0" collapsed="false">
      <c r="A15" s="12" t="s">
        <v>92</v>
      </c>
      <c r="B15" s="22" t="n">
        <f aca="false">EOMONTH(B6,-12)+1</f>
        <v>46023</v>
      </c>
    </row>
    <row r="16" customFormat="false" ht="15" hidden="false" customHeight="false" outlineLevel="0" collapsed="false">
      <c r="A16" s="12" t="s">
        <v>93</v>
      </c>
      <c r="B16" s="22" t="n">
        <f aca="false">EOMONTH(B6,B7-12)</f>
        <v>46295</v>
      </c>
    </row>
    <row r="17" customFormat="false" ht="15" hidden="false" customHeight="false" outlineLevel="0" collapsed="false">
      <c r="A17" s="12" t="s">
        <v>94</v>
      </c>
      <c r="B17" s="23" t="str">
        <f aca="false">TEXT(B16,"mmmm yyyy")</f>
        <v>September 2026</v>
      </c>
    </row>
    <row r="18" customFormat="false" ht="15" hidden="false" customHeight="false" outlineLevel="0" collapsed="false">
      <c r="A18" s="12" t="s">
        <v>95</v>
      </c>
      <c r="B18" s="24" t="n">
        <f aca="false">B16-B15+1</f>
        <v>273</v>
      </c>
    </row>
    <row r="19" customFormat="false" ht="15" hidden="false" customHeight="false" outlineLevel="0" collapsed="false">
      <c r="A19" s="12" t="s">
        <v>96</v>
      </c>
      <c r="B19" s="23" t="str">
        <f aca="false">"FY"&amp;YEAR(B6)</f>
        <v>FY2026</v>
      </c>
    </row>
    <row r="20" customFormat="false" ht="15" hidden="false" customHeight="false" outlineLevel="0" collapsed="false">
      <c r="A20" s="12" t="s">
        <v>97</v>
      </c>
      <c r="B20" s="25" t="n">
        <f aca="false">IF(B8="Yes",B9,0)</f>
        <v>0.15</v>
      </c>
    </row>
    <row r="22" customFormat="false" ht="15" hidden="false" customHeight="false" outlineLevel="0" collapsed="false">
      <c r="A22" s="21" t="s">
        <v>98</v>
      </c>
    </row>
    <row r="23" customFormat="false" ht="15" hidden="false" customHeight="false" outlineLevel="0" collapsed="false">
      <c r="A23" s="26" t="s">
        <v>99</v>
      </c>
      <c r="B23" s="27" t="s">
        <v>100</v>
      </c>
    </row>
    <row r="24" customFormat="false" ht="15" hidden="false" customHeight="false" outlineLevel="0" collapsed="false">
      <c r="A24" s="28" t="n">
        <v>1</v>
      </c>
      <c r="B24" s="29" t="n">
        <f aca="false">EOMONTH($B$6,A24-12)</f>
        <v>46053</v>
      </c>
    </row>
    <row r="25" customFormat="false" ht="15" hidden="false" customHeight="false" outlineLevel="0" collapsed="false">
      <c r="A25" s="28" t="n">
        <v>2</v>
      </c>
      <c r="B25" s="29" t="n">
        <f aca="false">EOMONTH($B$6,A25-12)</f>
        <v>46081</v>
      </c>
    </row>
    <row r="26" customFormat="false" ht="15" hidden="false" customHeight="false" outlineLevel="0" collapsed="false">
      <c r="A26" s="28" t="n">
        <v>3</v>
      </c>
      <c r="B26" s="29" t="n">
        <f aca="false">EOMONTH($B$6,A26-12)</f>
        <v>46112</v>
      </c>
    </row>
    <row r="27" customFormat="false" ht="15" hidden="false" customHeight="false" outlineLevel="0" collapsed="false">
      <c r="A27" s="28" t="n">
        <v>4</v>
      </c>
      <c r="B27" s="29" t="n">
        <f aca="false">EOMONTH($B$6,A27-12)</f>
        <v>46142</v>
      </c>
    </row>
    <row r="28" customFormat="false" ht="15" hidden="false" customHeight="false" outlineLevel="0" collapsed="false">
      <c r="A28" s="28" t="n">
        <v>5</v>
      </c>
      <c r="B28" s="29" t="n">
        <f aca="false">EOMONTH($B$6,A28-12)</f>
        <v>46173</v>
      </c>
    </row>
    <row r="29" customFormat="false" ht="15" hidden="false" customHeight="false" outlineLevel="0" collapsed="false">
      <c r="A29" s="28" t="n">
        <v>6</v>
      </c>
      <c r="B29" s="29" t="n">
        <f aca="false">EOMONTH($B$6,A29-12)</f>
        <v>46203</v>
      </c>
    </row>
    <row r="30" customFormat="false" ht="15" hidden="false" customHeight="false" outlineLevel="0" collapsed="false">
      <c r="A30" s="28" t="n">
        <v>7</v>
      </c>
      <c r="B30" s="29" t="n">
        <f aca="false">EOMONTH($B$6,A30-12)</f>
        <v>46234</v>
      </c>
    </row>
    <row r="31" customFormat="false" ht="15" hidden="false" customHeight="false" outlineLevel="0" collapsed="false">
      <c r="A31" s="28" t="n">
        <v>8</v>
      </c>
      <c r="B31" s="29" t="n">
        <f aca="false">EOMONTH($B$6,A31-12)</f>
        <v>46265</v>
      </c>
    </row>
    <row r="32" customFormat="false" ht="15" hidden="false" customHeight="false" outlineLevel="0" collapsed="false">
      <c r="A32" s="28" t="n">
        <v>9</v>
      </c>
      <c r="B32" s="29" t="n">
        <f aca="false">EOMONTH($B$6,A32-12)</f>
        <v>46295</v>
      </c>
    </row>
    <row r="33" customFormat="false" ht="15" hidden="false" customHeight="false" outlineLevel="0" collapsed="false">
      <c r="A33" s="28" t="n">
        <v>10</v>
      </c>
      <c r="B33" s="29" t="n">
        <f aca="false">EOMONTH($B$6,A33-12)</f>
        <v>46326</v>
      </c>
    </row>
    <row r="34" customFormat="false" ht="15" hidden="false" customHeight="false" outlineLevel="0" collapsed="false">
      <c r="A34" s="28" t="n">
        <v>11</v>
      </c>
      <c r="B34" s="29" t="n">
        <f aca="false">EOMONTH($B$6,A34-12)</f>
        <v>46356</v>
      </c>
    </row>
    <row r="35" customFormat="false" ht="15" hidden="false" customHeight="false" outlineLevel="0" collapsed="false">
      <c r="A35" s="28" t="n">
        <v>12</v>
      </c>
      <c r="B35" s="29" t="n">
        <f aca="false">EOMONTH($B$6,A35-12)</f>
        <v>46387</v>
      </c>
    </row>
  </sheetData>
  <sheetProtection sheet="true" formatColumns="false" formatRows="false"/>
  <dataValidations count="3">
    <dataValidation allowBlank="false" errorStyle="stop" operator="between" showDropDown="false" showErrorMessage="false" showInputMessage="false" sqref="B7" type="list">
      <formula1>"1,2,3,4,5,6,7,8,9,10,11,12"</formula1>
      <formula2>0</formula2>
    </dataValidation>
    <dataValidation allowBlank="false" errorStyle="stop" operator="between" showDropDown="false" showErrorMessage="false" showInputMessage="false" sqref="B8" type="list">
      <formula1>"Yes,No"</formula1>
      <formula2>0</formula2>
    </dataValidation>
    <dataValidation allowBlank="false" errorStyle="stop" operator="between" showDropDown="false" showErrorMessage="false" showInputMessage="false" sqref="B13" type="list">
      <formula1>"A,B,C,D,E"</formula1>
      <formula2>0</formula2>
    </dataValidation>
  </dataValidations>
  <printOptions headings="false" gridLines="false" gridLinesSet="true" horizontalCentered="true" verticalCentered="false"/>
  <pageMargins left="0.5" right="0.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&amp;LFree template by LBA Accounting - llba.co.za&amp;RPage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2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52"/>
    <col collapsed="false" customWidth="true" hidden="false" outlineLevel="0" max="3" min="3" style="0" width="34"/>
    <col collapsed="false" customWidth="true" hidden="false" outlineLevel="0" max="4" min="4" style="0" width="7"/>
    <col collapsed="false" customWidth="true" hidden="false" outlineLevel="0" max="17" min="5" style="0" width="14"/>
    <col collapsed="false" customWidth="true" hidden="false" outlineLevel="0" max="18" min="18" style="0" width="10"/>
  </cols>
  <sheetData>
    <row r="1" customFormat="false" ht="17.35" hidden="false" customHeight="false" outlineLevel="0" collapsed="false">
      <c r="A1" s="15" t="s">
        <v>101</v>
      </c>
    </row>
    <row r="2" customFormat="false" ht="15" hidden="false" customHeight="false" outlineLevel="0" collapsed="false">
      <c r="A2" s="16" t="s">
        <v>102</v>
      </c>
    </row>
    <row r="3" customFormat="false" ht="15" hidden="false" customHeight="false" outlineLevel="0" collapsed="false">
      <c r="A3" s="16" t="s">
        <v>99</v>
      </c>
      <c r="F3" s="30" t="n">
        <f aca="false">Setup!$A$24</f>
        <v>1</v>
      </c>
      <c r="G3" s="30" t="n">
        <f aca="false">Setup!$A$25</f>
        <v>2</v>
      </c>
      <c r="H3" s="30" t="n">
        <f aca="false">Setup!$A$26</f>
        <v>3</v>
      </c>
      <c r="I3" s="30" t="n">
        <f aca="false">Setup!$A$27</f>
        <v>4</v>
      </c>
      <c r="J3" s="30" t="n">
        <f aca="false">Setup!$A$28</f>
        <v>5</v>
      </c>
      <c r="K3" s="30" t="n">
        <f aca="false">Setup!$A$29</f>
        <v>6</v>
      </c>
      <c r="L3" s="30" t="n">
        <f aca="false">Setup!$A$30</f>
        <v>7</v>
      </c>
      <c r="M3" s="30" t="n">
        <f aca="false">Setup!$A$31</f>
        <v>8</v>
      </c>
      <c r="N3" s="30" t="n">
        <f aca="false">Setup!$A$32</f>
        <v>9</v>
      </c>
      <c r="O3" s="30" t="n">
        <f aca="false">Setup!$A$33</f>
        <v>10</v>
      </c>
      <c r="P3" s="30" t="n">
        <f aca="false">Setup!$A$34</f>
        <v>11</v>
      </c>
      <c r="Q3" s="30" t="n">
        <f aca="false">Setup!$A$35</f>
        <v>12</v>
      </c>
    </row>
    <row r="4" customFormat="false" ht="30" hidden="false" customHeight="true" outlineLevel="0" collapsed="false">
      <c r="A4" s="26" t="s">
        <v>103</v>
      </c>
      <c r="B4" s="27" t="s">
        <v>104</v>
      </c>
      <c r="C4" s="27" t="s">
        <v>105</v>
      </c>
      <c r="D4" s="27" t="s">
        <v>106</v>
      </c>
      <c r="E4" s="27" t="s">
        <v>107</v>
      </c>
      <c r="F4" s="31" t="n">
        <f aca="false">Setup!$B$24</f>
        <v>46053</v>
      </c>
      <c r="G4" s="31" t="n">
        <f aca="false">Setup!$B$25</f>
        <v>46081</v>
      </c>
      <c r="H4" s="31" t="n">
        <f aca="false">Setup!$B$26</f>
        <v>46112</v>
      </c>
      <c r="I4" s="31" t="n">
        <f aca="false">Setup!$B$27</f>
        <v>46142</v>
      </c>
      <c r="J4" s="31" t="n">
        <f aca="false">Setup!$B$28</f>
        <v>46173</v>
      </c>
      <c r="K4" s="31" t="n">
        <f aca="false">Setup!$B$29</f>
        <v>46203</v>
      </c>
      <c r="L4" s="31" t="n">
        <f aca="false">Setup!$B$30</f>
        <v>46234</v>
      </c>
      <c r="M4" s="31" t="n">
        <f aca="false">Setup!$B$31</f>
        <v>46265</v>
      </c>
      <c r="N4" s="31" t="n">
        <f aca="false">Setup!$B$32</f>
        <v>46295</v>
      </c>
      <c r="O4" s="31" t="n">
        <f aca="false">Setup!$B$33</f>
        <v>46326</v>
      </c>
      <c r="P4" s="31" t="n">
        <f aca="false">Setup!$B$34</f>
        <v>46356</v>
      </c>
      <c r="Q4" s="31" t="n">
        <f aca="false">Setup!$B$35</f>
        <v>46387</v>
      </c>
      <c r="R4" s="27" t="s">
        <v>108</v>
      </c>
    </row>
    <row r="5" customFormat="false" ht="15" hidden="false" customHeight="false" outlineLevel="0" collapsed="false">
      <c r="A5" s="32" t="n">
        <v>9999</v>
      </c>
      <c r="B5" s="32" t="s">
        <v>109</v>
      </c>
      <c r="C5" s="32" t="s">
        <v>110</v>
      </c>
      <c r="D5" s="32" t="s">
        <v>111</v>
      </c>
      <c r="E5" s="33" t="n">
        <v>1010000</v>
      </c>
      <c r="F5" s="33" t="n">
        <v>1100000</v>
      </c>
      <c r="G5" s="33" t="n">
        <v>1085000</v>
      </c>
    </row>
    <row r="6" customFormat="false" ht="15" hidden="false" customHeight="false" outlineLevel="0" collapsed="false">
      <c r="A6" s="34" t="n">
        <v>1000</v>
      </c>
      <c r="B6" s="34" t="s">
        <v>112</v>
      </c>
      <c r="C6" s="34" t="s">
        <v>113</v>
      </c>
      <c r="D6" s="28" t="str">
        <f aca="false">IF(C6="","",IFERROR(INDEX(Mapping!$B$5:$B$40,MATCH(C6,Mapping!$A$5:$A$40,0)),"UNMAPPED"))</f>
        <v>BS</v>
      </c>
      <c r="E6" s="35" t="n">
        <v>1450000</v>
      </c>
      <c r="F6" s="35" t="n">
        <v>1450000</v>
      </c>
      <c r="G6" s="35" t="n">
        <v>1450000</v>
      </c>
      <c r="H6" s="35" t="n">
        <v>1450000</v>
      </c>
      <c r="I6" s="35" t="n">
        <v>1630000</v>
      </c>
      <c r="J6" s="35" t="n">
        <v>1630000</v>
      </c>
      <c r="K6" s="35" t="n">
        <v>1630000</v>
      </c>
      <c r="L6" s="35" t="n">
        <v>1675000</v>
      </c>
      <c r="M6" s="35" t="n">
        <v>1675000</v>
      </c>
      <c r="N6" s="35" t="n">
        <v>1675000</v>
      </c>
      <c r="O6" s="35"/>
      <c r="P6" s="35"/>
      <c r="Q6" s="35"/>
      <c r="R6" s="36" t="n">
        <f aca="false">IF(SUMPRODUCT(ABS(E6:Q6))=0,0,IF(OR(D6="IS",D6="BS"),0,1))</f>
        <v>0</v>
      </c>
    </row>
    <row r="7" customFormat="false" ht="15" hidden="false" customHeight="false" outlineLevel="0" collapsed="false">
      <c r="A7" s="34" t="n">
        <v>1010</v>
      </c>
      <c r="B7" s="34" t="s">
        <v>114</v>
      </c>
      <c r="C7" s="34" t="s">
        <v>113</v>
      </c>
      <c r="D7" s="28" t="str">
        <f aca="false">IF(C7="","",IFERROR(INDEX(Mapping!$B$5:$B$40,MATCH(C7,Mapping!$A$5:$A$40,0)),"UNMAPPED"))</f>
        <v>BS</v>
      </c>
      <c r="E7" s="35" t="n">
        <v>-520000</v>
      </c>
      <c r="F7" s="35" t="n">
        <v>-534500</v>
      </c>
      <c r="G7" s="35" t="n">
        <v>-549000</v>
      </c>
      <c r="H7" s="35" t="n">
        <v>-563500</v>
      </c>
      <c r="I7" s="35" t="n">
        <v>-578000</v>
      </c>
      <c r="J7" s="35" t="n">
        <v>-595500</v>
      </c>
      <c r="K7" s="35" t="n">
        <v>-613000</v>
      </c>
      <c r="L7" s="35" t="n">
        <v>-630500</v>
      </c>
      <c r="M7" s="35" t="n">
        <v>-648750</v>
      </c>
      <c r="N7" s="35" t="n">
        <v>-667000</v>
      </c>
      <c r="O7" s="35"/>
      <c r="P7" s="35"/>
      <c r="Q7" s="35"/>
      <c r="R7" s="36" t="n">
        <f aca="false">IF(SUMPRODUCT(ABS(E7:Q7))=0,0,IF(OR(D7="IS",D7="BS"),0,1))</f>
        <v>0</v>
      </c>
    </row>
    <row r="8" customFormat="false" ht="15" hidden="false" customHeight="false" outlineLevel="0" collapsed="false">
      <c r="A8" s="34" t="n">
        <v>1100</v>
      </c>
      <c r="B8" s="34" t="s">
        <v>115</v>
      </c>
      <c r="C8" s="34" t="s">
        <v>116</v>
      </c>
      <c r="D8" s="28" t="str">
        <f aca="false">IF(C8="","",IFERROR(INDEX(Mapping!$B$5:$B$40,MATCH(C8,Mapping!$A$5:$A$40,0)),"UNMAPPED"))</f>
        <v>BS</v>
      </c>
      <c r="E8" s="35" t="n">
        <v>80000</v>
      </c>
      <c r="F8" s="35" t="n">
        <v>78500</v>
      </c>
      <c r="G8" s="35" t="n">
        <v>77000</v>
      </c>
      <c r="H8" s="35" t="n">
        <v>75500</v>
      </c>
      <c r="I8" s="35" t="n">
        <v>74000</v>
      </c>
      <c r="J8" s="35" t="n">
        <v>72500</v>
      </c>
      <c r="K8" s="35" t="n">
        <v>71000</v>
      </c>
      <c r="L8" s="35" t="n">
        <v>69500</v>
      </c>
      <c r="M8" s="35" t="n">
        <v>68000</v>
      </c>
      <c r="N8" s="35" t="n">
        <v>66500</v>
      </c>
      <c r="O8" s="35"/>
      <c r="P8" s="35"/>
      <c r="Q8" s="35"/>
      <c r="R8" s="36" t="n">
        <f aca="false">IF(SUMPRODUCT(ABS(E8:Q8))=0,0,IF(OR(D8="IS",D8="BS"),0,1))</f>
        <v>0</v>
      </c>
    </row>
    <row r="9" customFormat="false" ht="15" hidden="false" customHeight="false" outlineLevel="0" collapsed="false">
      <c r="A9" s="34" t="n">
        <v>1200</v>
      </c>
      <c r="B9" s="34" t="s">
        <v>117</v>
      </c>
      <c r="C9" s="34" t="s">
        <v>118</v>
      </c>
      <c r="D9" s="28" t="str">
        <f aca="false">IF(C9="","",IFERROR(INDEX(Mapping!$B$5:$B$40,MATCH(C9,Mapping!$A$5:$A$40,0)),"UNMAPPED"))</f>
        <v>BS</v>
      </c>
      <c r="E9" s="35" t="n">
        <v>60000</v>
      </c>
      <c r="F9" s="35" t="n">
        <v>60000</v>
      </c>
      <c r="G9" s="35" t="n">
        <v>60000</v>
      </c>
      <c r="H9" s="35" t="n">
        <v>60000</v>
      </c>
      <c r="I9" s="35" t="n">
        <v>60000</v>
      </c>
      <c r="J9" s="35" t="n">
        <v>60000</v>
      </c>
      <c r="K9" s="35" t="n">
        <v>60000</v>
      </c>
      <c r="L9" s="35" t="n">
        <v>60000</v>
      </c>
      <c r="M9" s="35" t="n">
        <v>60000</v>
      </c>
      <c r="N9" s="35" t="n">
        <v>60000</v>
      </c>
      <c r="O9" s="35"/>
      <c r="P9" s="35"/>
      <c r="Q9" s="35"/>
      <c r="R9" s="36" t="n">
        <f aca="false">IF(SUMPRODUCT(ABS(E9:Q9))=0,0,IF(OR(D9="IS",D9="BS"),0,1))</f>
        <v>0</v>
      </c>
    </row>
    <row r="10" customFormat="false" ht="15" hidden="false" customHeight="false" outlineLevel="0" collapsed="false">
      <c r="A10" s="34" t="n">
        <v>1300</v>
      </c>
      <c r="B10" s="34" t="s">
        <v>119</v>
      </c>
      <c r="C10" s="34" t="s">
        <v>120</v>
      </c>
      <c r="D10" s="28" t="str">
        <f aca="false">IF(C10="","",IFERROR(INDEX(Mapping!$B$5:$B$40,MATCH(C10,Mapping!$A$5:$A$40,0)),"UNMAPPED"))</f>
        <v>BS</v>
      </c>
      <c r="E10" s="35" t="n">
        <v>640000</v>
      </c>
      <c r="F10" s="35" t="n">
        <v>648885</v>
      </c>
      <c r="G10" s="35" t="n">
        <v>656315</v>
      </c>
      <c r="H10" s="35" t="n">
        <v>678000</v>
      </c>
      <c r="I10" s="35" t="n">
        <v>679887</v>
      </c>
      <c r="J10" s="35" t="n">
        <v>703349</v>
      </c>
      <c r="K10" s="35" t="n">
        <v>705662</v>
      </c>
      <c r="L10" s="35" t="n">
        <v>709812</v>
      </c>
      <c r="M10" s="35" t="n">
        <v>717272</v>
      </c>
      <c r="N10" s="35" t="n">
        <v>731399</v>
      </c>
      <c r="O10" s="35"/>
      <c r="P10" s="35"/>
      <c r="Q10" s="35"/>
      <c r="R10" s="36" t="n">
        <f aca="false">IF(SUMPRODUCT(ABS(E10:Q10))=0,0,IF(OR(D10="IS",D10="BS"),0,1))</f>
        <v>0</v>
      </c>
    </row>
    <row r="11" customFormat="false" ht="15" hidden="false" customHeight="false" outlineLevel="0" collapsed="false">
      <c r="A11" s="34" t="n">
        <v>1400</v>
      </c>
      <c r="B11" s="34" t="s">
        <v>121</v>
      </c>
      <c r="C11" s="34" t="s">
        <v>110</v>
      </c>
      <c r="D11" s="28" t="str">
        <f aca="false">IF(C11="","",IFERROR(INDEX(Mapping!$B$5:$B$40,MATCH(C11,Mapping!$A$5:$A$40,0)),"UNMAPPED"))</f>
        <v>BS</v>
      </c>
      <c r="E11" s="35" t="n">
        <v>1010000</v>
      </c>
      <c r="F11" s="35" t="n">
        <v>1026139</v>
      </c>
      <c r="G11" s="35" t="n">
        <v>1063539</v>
      </c>
      <c r="H11" s="35" t="n">
        <v>1118911</v>
      </c>
      <c r="I11" s="35" t="n">
        <v>1151030</v>
      </c>
      <c r="J11" s="35" t="n">
        <v>1195051</v>
      </c>
      <c r="K11" s="35" t="n">
        <v>1202718</v>
      </c>
      <c r="L11" s="35" t="n">
        <v>1250332</v>
      </c>
      <c r="M11" s="35" t="n">
        <v>1275486</v>
      </c>
      <c r="N11" s="35" t="n">
        <v>1309893</v>
      </c>
      <c r="O11" s="35"/>
      <c r="P11" s="35"/>
      <c r="Q11" s="35"/>
      <c r="R11" s="36" t="n">
        <f aca="false">IF(SUMPRODUCT(ABS(E11:Q11))=0,0,IF(OR(D11="IS",D11="BS"),0,1))</f>
        <v>0</v>
      </c>
    </row>
    <row r="12" customFormat="false" ht="15" hidden="false" customHeight="false" outlineLevel="0" collapsed="false">
      <c r="A12" s="34" t="n">
        <v>1410</v>
      </c>
      <c r="B12" s="34" t="s">
        <v>122</v>
      </c>
      <c r="C12" s="34" t="s">
        <v>123</v>
      </c>
      <c r="D12" s="28" t="str">
        <f aca="false">IF(C12="","",IFERROR(INDEX(Mapping!$B$5:$B$40,MATCH(C12,Mapping!$A$5:$A$40,0)),"UNMAPPED"))</f>
        <v>BS</v>
      </c>
      <c r="E12" s="35" t="n">
        <v>85000</v>
      </c>
      <c r="F12" s="35" t="n">
        <v>85000</v>
      </c>
      <c r="G12" s="35" t="n">
        <v>85000</v>
      </c>
      <c r="H12" s="35" t="n">
        <v>85000</v>
      </c>
      <c r="I12" s="35" t="n">
        <v>85000</v>
      </c>
      <c r="J12" s="35" t="n">
        <v>85000</v>
      </c>
      <c r="K12" s="35" t="n">
        <v>85000</v>
      </c>
      <c r="L12" s="35" t="n">
        <v>85000</v>
      </c>
      <c r="M12" s="35" t="n">
        <v>85000</v>
      </c>
      <c r="N12" s="35" t="n">
        <v>85000</v>
      </c>
      <c r="O12" s="35"/>
      <c r="P12" s="35"/>
      <c r="Q12" s="35"/>
      <c r="R12" s="36" t="n">
        <f aca="false">IF(SUMPRODUCT(ABS(E12:Q12))=0,0,IF(OR(D12="IS",D12="BS"),0,1))</f>
        <v>0</v>
      </c>
    </row>
    <row r="13" customFormat="false" ht="15" hidden="false" customHeight="false" outlineLevel="0" collapsed="false">
      <c r="A13" s="34" t="n">
        <v>1420</v>
      </c>
      <c r="B13" s="34" t="s">
        <v>124</v>
      </c>
      <c r="C13" s="34" t="s">
        <v>123</v>
      </c>
      <c r="D13" s="28" t="str">
        <f aca="false">IF(C13="","",IFERROR(INDEX(Mapping!$B$5:$B$40,MATCH(C13,Mapping!$A$5:$A$40,0)),"UNMAPPED"))</f>
        <v>BS</v>
      </c>
      <c r="E13" s="35" t="n">
        <v>12000</v>
      </c>
      <c r="F13" s="35" t="n">
        <v>12000</v>
      </c>
      <c r="G13" s="35" t="n">
        <v>12000</v>
      </c>
      <c r="H13" s="35" t="n">
        <v>12000</v>
      </c>
      <c r="I13" s="35" t="n">
        <v>12000</v>
      </c>
      <c r="J13" s="35" t="n">
        <v>12000</v>
      </c>
      <c r="K13" s="35" t="n">
        <v>12000</v>
      </c>
      <c r="L13" s="35" t="n">
        <v>12000</v>
      </c>
      <c r="M13" s="35" t="n">
        <v>12000</v>
      </c>
      <c r="N13" s="35" t="n">
        <v>12000</v>
      </c>
      <c r="O13" s="35"/>
      <c r="P13" s="35"/>
      <c r="Q13" s="35"/>
      <c r="R13" s="36" t="n">
        <f aca="false">IF(SUMPRODUCT(ABS(E13:Q13))=0,0,IF(OR(D13="IS",D13="BS"),0,1))</f>
        <v>0</v>
      </c>
    </row>
    <row r="14" customFormat="false" ht="15" hidden="false" customHeight="false" outlineLevel="0" collapsed="false">
      <c r="A14" s="34" t="n">
        <v>1500</v>
      </c>
      <c r="B14" s="34" t="s">
        <v>125</v>
      </c>
      <c r="C14" s="34" t="s">
        <v>126</v>
      </c>
      <c r="D14" s="28" t="str">
        <f aca="false">IF(C14="","",IFERROR(INDEX(Mapping!$B$5:$B$40,MATCH(C14,Mapping!$A$5:$A$40,0)),"UNMAPPED"))</f>
        <v>BS</v>
      </c>
      <c r="E14" s="35" t="n">
        <v>950000</v>
      </c>
      <c r="F14" s="35" t="n">
        <v>881551</v>
      </c>
      <c r="G14" s="35" t="n">
        <v>540640</v>
      </c>
      <c r="H14" s="35" t="n">
        <v>525359</v>
      </c>
      <c r="I14" s="35" t="n">
        <v>366427</v>
      </c>
      <c r="J14" s="35" t="n">
        <v>293596</v>
      </c>
      <c r="K14" s="35" t="n">
        <v>245189</v>
      </c>
      <c r="L14" s="35" t="n">
        <v>210105</v>
      </c>
      <c r="M14" s="35" t="n">
        <v>301560</v>
      </c>
      <c r="N14" s="35" t="n">
        <v>341692</v>
      </c>
      <c r="O14" s="35"/>
      <c r="P14" s="35"/>
      <c r="Q14" s="35"/>
      <c r="R14" s="36" t="n">
        <f aca="false">IF(SUMPRODUCT(ABS(E14:Q14))=0,0,IF(OR(D14="IS",D14="BS"),0,1))</f>
        <v>0</v>
      </c>
    </row>
    <row r="15" customFormat="false" ht="15" hidden="false" customHeight="false" outlineLevel="0" collapsed="false">
      <c r="A15" s="34" t="n">
        <v>1510</v>
      </c>
      <c r="B15" s="34" t="s">
        <v>127</v>
      </c>
      <c r="C15" s="34" t="s">
        <v>126</v>
      </c>
      <c r="D15" s="28" t="str">
        <f aca="false">IF(C15="","",IFERROR(INDEX(Mapping!$B$5:$B$40,MATCH(C15,Mapping!$A$5:$A$40,0)),"UNMAPPED"))</f>
        <v>BS</v>
      </c>
      <c r="E15" s="35" t="n">
        <v>150000</v>
      </c>
      <c r="F15" s="35" t="n">
        <v>150750</v>
      </c>
      <c r="G15" s="35" t="n">
        <v>151504</v>
      </c>
      <c r="H15" s="35" t="n">
        <v>152262</v>
      </c>
      <c r="I15" s="35" t="n">
        <v>153023</v>
      </c>
      <c r="J15" s="35" t="n">
        <v>153788</v>
      </c>
      <c r="K15" s="35" t="n">
        <v>154557</v>
      </c>
      <c r="L15" s="35" t="n">
        <v>155330</v>
      </c>
      <c r="M15" s="35" t="n">
        <v>156107</v>
      </c>
      <c r="N15" s="35" t="n">
        <v>156888</v>
      </c>
      <c r="O15" s="35"/>
      <c r="P15" s="35"/>
      <c r="Q15" s="35"/>
      <c r="R15" s="36" t="n">
        <f aca="false">IF(SUMPRODUCT(ABS(E15:Q15))=0,0,IF(OR(D15="IS",D15="BS"),0,1))</f>
        <v>0</v>
      </c>
    </row>
    <row r="16" customFormat="false" ht="15" hidden="false" customHeight="false" outlineLevel="0" collapsed="false">
      <c r="A16" s="34" t="n">
        <v>1520</v>
      </c>
      <c r="B16" s="34" t="s">
        <v>128</v>
      </c>
      <c r="C16" s="34" t="s">
        <v>126</v>
      </c>
      <c r="D16" s="28" t="str">
        <f aca="false">IF(C16="","",IFERROR(INDEX(Mapping!$B$5:$B$40,MATCH(C16,Mapping!$A$5:$A$40,0)),"UNMAPPED"))</f>
        <v>BS</v>
      </c>
      <c r="E16" s="35" t="n">
        <v>3000</v>
      </c>
      <c r="F16" s="35" t="n">
        <v>3000</v>
      </c>
      <c r="G16" s="35" t="n">
        <v>3000</v>
      </c>
      <c r="H16" s="35" t="n">
        <v>3000</v>
      </c>
      <c r="I16" s="35" t="n">
        <v>3000</v>
      </c>
      <c r="J16" s="35" t="n">
        <v>3000</v>
      </c>
      <c r="K16" s="35" t="n">
        <v>3000</v>
      </c>
      <c r="L16" s="35" t="n">
        <v>3000</v>
      </c>
      <c r="M16" s="35" t="n">
        <v>3000</v>
      </c>
      <c r="N16" s="35" t="n">
        <v>3000</v>
      </c>
      <c r="O16" s="35"/>
      <c r="P16" s="35"/>
      <c r="Q16" s="35"/>
      <c r="R16" s="36" t="n">
        <f aca="false">IF(SUMPRODUCT(ABS(E16:Q16))=0,0,IF(OR(D16="IS",D16="BS"),0,1))</f>
        <v>0</v>
      </c>
    </row>
    <row r="17" customFormat="false" ht="15" hidden="false" customHeight="false" outlineLevel="0" collapsed="false">
      <c r="A17" s="34" t="n">
        <v>2000</v>
      </c>
      <c r="B17" s="34" t="s">
        <v>129</v>
      </c>
      <c r="C17" s="34" t="s">
        <v>130</v>
      </c>
      <c r="D17" s="28" t="str">
        <f aca="false">IF(C17="","",IFERROR(INDEX(Mapping!$B$5:$B$40,MATCH(C17,Mapping!$A$5:$A$40,0)),"UNMAPPED"))</f>
        <v>BS</v>
      </c>
      <c r="E17" s="35" t="n">
        <v>-690000</v>
      </c>
      <c r="F17" s="35" t="n">
        <v>-706071</v>
      </c>
      <c r="G17" s="35" t="n">
        <v>-736185</v>
      </c>
      <c r="H17" s="35" t="n">
        <v>-772730</v>
      </c>
      <c r="I17" s="35" t="n">
        <v>-773738</v>
      </c>
      <c r="J17" s="35" t="n">
        <v>-830305</v>
      </c>
      <c r="K17" s="35" t="n">
        <v>-813344</v>
      </c>
      <c r="L17" s="35" t="n">
        <v>-840240</v>
      </c>
      <c r="M17" s="35" t="n">
        <v>-841811</v>
      </c>
      <c r="N17" s="35" t="n">
        <v>-868605</v>
      </c>
      <c r="O17" s="35"/>
      <c r="P17" s="35"/>
      <c r="Q17" s="35"/>
      <c r="R17" s="36" t="n">
        <f aca="false">IF(SUMPRODUCT(ABS(E17:Q17))=0,0,IF(OR(D17="IS",D17="BS"),0,1))</f>
        <v>0</v>
      </c>
    </row>
    <row r="18" customFormat="false" ht="15" hidden="false" customHeight="false" outlineLevel="0" collapsed="false">
      <c r="A18" s="34" t="n">
        <v>2010</v>
      </c>
      <c r="B18" s="34" t="s">
        <v>131</v>
      </c>
      <c r="C18" s="34" t="s">
        <v>132</v>
      </c>
      <c r="D18" s="28" t="str">
        <f aca="false">IF(C18="","",IFERROR(INDEX(Mapping!$B$5:$B$40,MATCH(C18,Mapping!$A$5:$A$40,0)),"UNMAPPED"))</f>
        <v>BS</v>
      </c>
      <c r="E18" s="35" t="n">
        <v>-40000</v>
      </c>
      <c r="F18" s="35" t="n">
        <v>-49000</v>
      </c>
      <c r="G18" s="35" t="n">
        <v>-18000</v>
      </c>
      <c r="H18" s="35" t="n">
        <v>-27000</v>
      </c>
      <c r="I18" s="35" t="n">
        <v>-36000</v>
      </c>
      <c r="J18" s="35" t="n">
        <v>-45000</v>
      </c>
      <c r="K18" s="35" t="n">
        <v>-18000</v>
      </c>
      <c r="L18" s="35" t="n">
        <v>-27000</v>
      </c>
      <c r="M18" s="35" t="n">
        <v>-36000</v>
      </c>
      <c r="N18" s="35" t="n">
        <v>-45000</v>
      </c>
      <c r="O18" s="35"/>
      <c r="P18" s="35"/>
      <c r="Q18" s="35"/>
      <c r="R18" s="36" t="n">
        <f aca="false">IF(SUMPRODUCT(ABS(E18:Q18))=0,0,IF(OR(D18="IS",D18="BS"),0,1))</f>
        <v>0</v>
      </c>
    </row>
    <row r="19" customFormat="false" ht="15" hidden="false" customHeight="false" outlineLevel="0" collapsed="false">
      <c r="A19" s="34" t="n">
        <v>2020</v>
      </c>
      <c r="B19" s="34" t="s">
        <v>133</v>
      </c>
      <c r="C19" s="34" t="s">
        <v>132</v>
      </c>
      <c r="D19" s="28" t="str">
        <f aca="false">IF(C19="","",IFERROR(INDEX(Mapping!$B$5:$B$40,MATCH(C19,Mapping!$A$5:$A$40,0)),"UNMAPPED"))</f>
        <v>BS</v>
      </c>
      <c r="E19" s="35" t="n">
        <v>-120000</v>
      </c>
      <c r="F19" s="35" t="n">
        <v>-125000</v>
      </c>
      <c r="G19" s="35" t="n">
        <v>-10000</v>
      </c>
      <c r="H19" s="35" t="n">
        <v>-15000</v>
      </c>
      <c r="I19" s="35" t="n">
        <v>-20000</v>
      </c>
      <c r="J19" s="35" t="n">
        <v>-25000</v>
      </c>
      <c r="K19" s="35" t="n">
        <v>-30000</v>
      </c>
      <c r="L19" s="35" t="n">
        <v>-35000</v>
      </c>
      <c r="M19" s="35" t="n">
        <v>-40000</v>
      </c>
      <c r="N19" s="35" t="n">
        <v>-45000</v>
      </c>
      <c r="O19" s="35"/>
      <c r="P19" s="35"/>
      <c r="Q19" s="35"/>
      <c r="R19" s="36" t="n">
        <f aca="false">IF(SUMPRODUCT(ABS(E19:Q19))=0,0,IF(OR(D19="IS",D19="BS"),0,1))</f>
        <v>0</v>
      </c>
    </row>
    <row r="20" customFormat="false" ht="15" hidden="false" customHeight="false" outlineLevel="0" collapsed="false">
      <c r="A20" s="34" t="n">
        <v>2100</v>
      </c>
      <c r="B20" s="34" t="s">
        <v>134</v>
      </c>
      <c r="C20" s="34" t="s">
        <v>135</v>
      </c>
      <c r="D20" s="28" t="str">
        <f aca="false">IF(C20="","",IFERROR(INDEX(Mapping!$B$5:$B$40,MATCH(C20,Mapping!$A$5:$A$40,0)),"UNMAPPED"))</f>
        <v>BS</v>
      </c>
      <c r="E20" s="35" t="n">
        <v>-95000</v>
      </c>
      <c r="F20" s="35" t="n">
        <v>-25721</v>
      </c>
      <c r="G20" s="35" t="n">
        <v>-52800</v>
      </c>
      <c r="H20" s="35" t="n">
        <v>-29738</v>
      </c>
      <c r="I20" s="35" t="n">
        <v>-35867</v>
      </c>
      <c r="J20" s="35" t="n">
        <v>-28861</v>
      </c>
      <c r="K20" s="35" t="n">
        <v>-61853</v>
      </c>
      <c r="L20" s="35" t="n">
        <v>-28762</v>
      </c>
      <c r="M20" s="35" t="n">
        <v>-66332</v>
      </c>
      <c r="N20" s="35" t="n">
        <v>-37308</v>
      </c>
      <c r="O20" s="35"/>
      <c r="P20" s="35"/>
      <c r="Q20" s="35"/>
      <c r="R20" s="36" t="n">
        <f aca="false">IF(SUMPRODUCT(ABS(E20:Q20))=0,0,IF(OR(D20="IS",D20="BS"),0,1))</f>
        <v>0</v>
      </c>
    </row>
    <row r="21" customFormat="false" ht="15" hidden="false" customHeight="false" outlineLevel="0" collapsed="false">
      <c r="A21" s="34" t="n">
        <v>2110</v>
      </c>
      <c r="B21" s="34" t="s">
        <v>136</v>
      </c>
      <c r="C21" s="34" t="s">
        <v>137</v>
      </c>
      <c r="D21" s="28" t="str">
        <f aca="false">IF(C21="","",IFERROR(INDEX(Mapping!$B$5:$B$40,MATCH(C21,Mapping!$A$5:$A$40,0)),"UNMAPPED"))</f>
        <v>BS</v>
      </c>
      <c r="E21" s="35" t="n">
        <v>-20400</v>
      </c>
      <c r="F21" s="35" t="n">
        <v>-20502</v>
      </c>
      <c r="G21" s="35" t="n">
        <v>-20604</v>
      </c>
      <c r="H21" s="35" t="n">
        <v>-20706</v>
      </c>
      <c r="I21" s="35" t="n">
        <v>-20808</v>
      </c>
      <c r="J21" s="35" t="n">
        <v>-20910</v>
      </c>
      <c r="K21" s="35" t="n">
        <v>-21012</v>
      </c>
      <c r="L21" s="35" t="n">
        <v>-21114</v>
      </c>
      <c r="M21" s="35" t="n">
        <v>-21216</v>
      </c>
      <c r="N21" s="35" t="n">
        <v>-21318</v>
      </c>
      <c r="O21" s="35"/>
      <c r="P21" s="35"/>
      <c r="Q21" s="35"/>
      <c r="R21" s="36" t="n">
        <f aca="false">IF(SUMPRODUCT(ABS(E21:Q21))=0,0,IF(OR(D21="IS",D21="BS"),0,1))</f>
        <v>0</v>
      </c>
    </row>
    <row r="22" customFormat="false" ht="15" hidden="false" customHeight="false" outlineLevel="0" collapsed="false">
      <c r="A22" s="34" t="n">
        <v>2120</v>
      </c>
      <c r="B22" s="34" t="s">
        <v>138</v>
      </c>
      <c r="C22" s="34" t="s">
        <v>137</v>
      </c>
      <c r="D22" s="28" t="str">
        <f aca="false">IF(C22="","",IFERROR(INDEX(Mapping!$B$5:$B$40,MATCH(C22,Mapping!$A$5:$A$40,0)),"UNMAPPED"))</f>
        <v>BS</v>
      </c>
      <c r="E22" s="35" t="n">
        <v>-2400</v>
      </c>
      <c r="F22" s="35" t="n">
        <v>-2412</v>
      </c>
      <c r="G22" s="35" t="n">
        <v>-2424</v>
      </c>
      <c r="H22" s="35" t="n">
        <v>-2436</v>
      </c>
      <c r="I22" s="35" t="n">
        <v>-2448</v>
      </c>
      <c r="J22" s="35" t="n">
        <v>-2460</v>
      </c>
      <c r="K22" s="35" t="n">
        <v>-2472</v>
      </c>
      <c r="L22" s="35" t="n">
        <v>-2484</v>
      </c>
      <c r="M22" s="35" t="n">
        <v>-2496</v>
      </c>
      <c r="N22" s="35" t="n">
        <v>-2508</v>
      </c>
      <c r="O22" s="35"/>
      <c r="P22" s="35"/>
      <c r="Q22" s="35"/>
      <c r="R22" s="36" t="n">
        <f aca="false">IF(SUMPRODUCT(ABS(E22:Q22))=0,0,IF(OR(D22="IS",D22="BS"),0,1))</f>
        <v>0</v>
      </c>
    </row>
    <row r="23" customFormat="false" ht="15" hidden="false" customHeight="false" outlineLevel="0" collapsed="false">
      <c r="A23" s="34" t="n">
        <v>2130</v>
      </c>
      <c r="B23" s="34" t="s">
        <v>139</v>
      </c>
      <c r="C23" s="34" t="s">
        <v>137</v>
      </c>
      <c r="D23" s="28" t="str">
        <f aca="false">IF(C23="","",IFERROR(INDEX(Mapping!$B$5:$B$40,MATCH(C23,Mapping!$A$5:$A$40,0)),"UNMAPPED"))</f>
        <v>BS</v>
      </c>
      <c r="E23" s="35" t="n">
        <v>-1200</v>
      </c>
      <c r="F23" s="35" t="n">
        <v>-1206</v>
      </c>
      <c r="G23" s="35" t="n">
        <v>-1212</v>
      </c>
      <c r="H23" s="35" t="n">
        <v>-1218</v>
      </c>
      <c r="I23" s="35" t="n">
        <v>-1224</v>
      </c>
      <c r="J23" s="35" t="n">
        <v>-1230</v>
      </c>
      <c r="K23" s="35" t="n">
        <v>-1236</v>
      </c>
      <c r="L23" s="35" t="n">
        <v>-1242</v>
      </c>
      <c r="M23" s="35" t="n">
        <v>-1248</v>
      </c>
      <c r="N23" s="35" t="n">
        <v>-1254</v>
      </c>
      <c r="O23" s="35"/>
      <c r="P23" s="35"/>
      <c r="Q23" s="35"/>
      <c r="R23" s="36" t="n">
        <f aca="false">IF(SUMPRODUCT(ABS(E23:Q23))=0,0,IF(OR(D23="IS",D23="BS"),0,1))</f>
        <v>0</v>
      </c>
    </row>
    <row r="24" customFormat="false" ht="15" hidden="false" customHeight="false" outlineLevel="0" collapsed="false">
      <c r="A24" s="34" t="n">
        <v>2200</v>
      </c>
      <c r="B24" s="34" t="s">
        <v>140</v>
      </c>
      <c r="C24" s="34" t="s">
        <v>140</v>
      </c>
      <c r="D24" s="28" t="str">
        <f aca="false">IF(C24="","",IFERROR(INDEX(Mapping!$B$5:$B$40,MATCH(C24,Mapping!$A$5:$A$40,0)),"UNMAPPED"))</f>
        <v>BS</v>
      </c>
      <c r="E24" s="35" t="n">
        <v>-210000</v>
      </c>
      <c r="F24" s="35" t="n">
        <v>-212002</v>
      </c>
      <c r="G24" s="35" t="n">
        <v>-5879</v>
      </c>
      <c r="H24" s="35" t="n">
        <v>-18280</v>
      </c>
      <c r="I24" s="35" t="n">
        <v>-30586</v>
      </c>
      <c r="J24" s="35" t="n">
        <v>-41315</v>
      </c>
      <c r="K24" s="35" t="n">
        <v>-5322</v>
      </c>
      <c r="L24" s="35" t="n">
        <v>-22205</v>
      </c>
      <c r="M24" s="35" t="n">
        <v>-43490</v>
      </c>
      <c r="N24" s="35" t="n">
        <v>-66388</v>
      </c>
      <c r="O24" s="35"/>
      <c r="P24" s="35"/>
      <c r="Q24" s="35"/>
      <c r="R24" s="36" t="n">
        <f aca="false">IF(SUMPRODUCT(ABS(E24:Q24))=0,0,IF(OR(D24="IS",D24="BS"),0,1))</f>
        <v>0</v>
      </c>
    </row>
    <row r="25" customFormat="false" ht="15" hidden="false" customHeight="false" outlineLevel="0" collapsed="false">
      <c r="A25" s="34" t="n">
        <v>2300</v>
      </c>
      <c r="B25" s="34" t="s">
        <v>141</v>
      </c>
      <c r="C25" s="34" t="s">
        <v>142</v>
      </c>
      <c r="D25" s="28" t="str">
        <f aca="false">IF(C25="","",IFERROR(INDEX(Mapping!$B$5:$B$40,MATCH(C25,Mapping!$A$5:$A$40,0)),"UNMAPPED"))</f>
        <v>BS</v>
      </c>
      <c r="E25" s="35" t="n">
        <v>-180000</v>
      </c>
      <c r="F25" s="35" t="n">
        <v>-165000</v>
      </c>
      <c r="G25" s="35" t="n">
        <v>-150000</v>
      </c>
      <c r="H25" s="35" t="n">
        <v>-135000</v>
      </c>
      <c r="I25" s="35" t="n">
        <v>-120000</v>
      </c>
      <c r="J25" s="35" t="n">
        <v>-105000</v>
      </c>
      <c r="K25" s="35" t="n">
        <v>-90000</v>
      </c>
      <c r="L25" s="35" t="n">
        <v>-75000</v>
      </c>
      <c r="M25" s="35" t="n">
        <v>-60000</v>
      </c>
      <c r="N25" s="35" t="n">
        <v>-45000</v>
      </c>
      <c r="O25" s="35"/>
      <c r="P25" s="35"/>
      <c r="Q25" s="35"/>
      <c r="R25" s="36" t="n">
        <f aca="false">IF(SUMPRODUCT(ABS(E25:Q25))=0,0,IF(OR(D25="IS",D25="BS"),0,1))</f>
        <v>0</v>
      </c>
    </row>
    <row r="26" customFormat="false" ht="15" hidden="false" customHeight="false" outlineLevel="0" collapsed="false">
      <c r="A26" s="34" t="n">
        <v>2310</v>
      </c>
      <c r="B26" s="34" t="s">
        <v>143</v>
      </c>
      <c r="C26" s="34" t="s">
        <v>143</v>
      </c>
      <c r="D26" s="28" t="str">
        <f aca="false">IF(C26="","",IFERROR(INDEX(Mapping!$B$5:$B$40,MATCH(C26,Mapping!$A$5:$A$40,0)),"UNMAPPED"))</f>
        <v>BS</v>
      </c>
      <c r="E26" s="35" t="n">
        <v>0</v>
      </c>
      <c r="F26" s="35" t="n">
        <v>0</v>
      </c>
      <c r="G26" s="35" t="n">
        <v>0</v>
      </c>
      <c r="H26" s="35" t="n">
        <v>0</v>
      </c>
      <c r="I26" s="35" t="n">
        <v>0</v>
      </c>
      <c r="J26" s="35" t="n">
        <v>0</v>
      </c>
      <c r="K26" s="35" t="n">
        <v>0</v>
      </c>
      <c r="L26" s="35" t="n">
        <v>0</v>
      </c>
      <c r="M26" s="35" t="n">
        <v>0</v>
      </c>
      <c r="N26" s="35" t="n">
        <v>0</v>
      </c>
      <c r="O26" s="35"/>
      <c r="P26" s="35"/>
      <c r="Q26" s="35"/>
      <c r="R26" s="36" t="n">
        <f aca="false">IF(SUMPRODUCT(ABS(E26:Q26))=0,0,IF(OR(D26="IS",D26="BS"),0,1))</f>
        <v>0</v>
      </c>
    </row>
    <row r="27" customFormat="false" ht="15" hidden="false" customHeight="false" outlineLevel="0" collapsed="false">
      <c r="A27" s="34" t="n">
        <v>2400</v>
      </c>
      <c r="B27" s="34" t="s">
        <v>144</v>
      </c>
      <c r="C27" s="34" t="s">
        <v>145</v>
      </c>
      <c r="D27" s="28" t="str">
        <f aca="false">IF(C27="","",IFERROR(INDEX(Mapping!$B$5:$B$40,MATCH(C27,Mapping!$A$5:$A$40,0)),"UNMAPPED"))</f>
        <v>BS</v>
      </c>
      <c r="E27" s="35" t="n">
        <v>-620000</v>
      </c>
      <c r="F27" s="35" t="n">
        <v>-608000</v>
      </c>
      <c r="G27" s="35" t="n">
        <v>-596000</v>
      </c>
      <c r="H27" s="35" t="n">
        <v>-584000</v>
      </c>
      <c r="I27" s="35" t="n">
        <v>-572000</v>
      </c>
      <c r="J27" s="35" t="n">
        <v>-560000</v>
      </c>
      <c r="K27" s="35" t="n">
        <v>-548000</v>
      </c>
      <c r="L27" s="35" t="n">
        <v>-536000</v>
      </c>
      <c r="M27" s="35" t="n">
        <v>-524000</v>
      </c>
      <c r="N27" s="35" t="n">
        <v>-512000</v>
      </c>
      <c r="O27" s="35"/>
      <c r="P27" s="35"/>
      <c r="Q27" s="35"/>
      <c r="R27" s="36" t="n">
        <f aca="false">IF(SUMPRODUCT(ABS(E27:Q27))=0,0,IF(OR(D27="IS",D27="BS"),0,1))</f>
        <v>0</v>
      </c>
    </row>
    <row r="28" customFormat="false" ht="15" hidden="false" customHeight="false" outlineLevel="0" collapsed="false">
      <c r="A28" s="34" t="n">
        <v>2500</v>
      </c>
      <c r="B28" s="34" t="s">
        <v>146</v>
      </c>
      <c r="C28" s="34" t="s">
        <v>147</v>
      </c>
      <c r="D28" s="28" t="str">
        <f aca="false">IF(C28="","",IFERROR(INDEX(Mapping!$B$5:$B$40,MATCH(C28,Mapping!$A$5:$A$40,0)),"UNMAPPED"))</f>
        <v>BS</v>
      </c>
      <c r="E28" s="35" t="n">
        <v>-300000</v>
      </c>
      <c r="F28" s="35" t="n">
        <v>-300000</v>
      </c>
      <c r="G28" s="35" t="n">
        <v>-300000</v>
      </c>
      <c r="H28" s="35" t="n">
        <v>-300000</v>
      </c>
      <c r="I28" s="35" t="n">
        <v>-300000</v>
      </c>
      <c r="J28" s="35" t="n">
        <v>-300000</v>
      </c>
      <c r="K28" s="35" t="n">
        <v>-280000</v>
      </c>
      <c r="L28" s="35" t="n">
        <v>-280000</v>
      </c>
      <c r="M28" s="35" t="n">
        <v>-280000</v>
      </c>
      <c r="N28" s="35" t="n">
        <v>-280000</v>
      </c>
      <c r="O28" s="35"/>
      <c r="P28" s="35"/>
      <c r="Q28" s="35"/>
      <c r="R28" s="36" t="n">
        <f aca="false">IF(SUMPRODUCT(ABS(E28:Q28))=0,0,IF(OR(D28="IS",D28="BS"),0,1))</f>
        <v>0</v>
      </c>
    </row>
    <row r="29" customFormat="false" ht="15" hidden="false" customHeight="false" outlineLevel="0" collapsed="false">
      <c r="A29" s="34" t="n">
        <v>3000</v>
      </c>
      <c r="B29" s="34" t="s">
        <v>148</v>
      </c>
      <c r="C29" s="34" t="s">
        <v>148</v>
      </c>
      <c r="D29" s="28" t="str">
        <f aca="false">IF(C29="","",IFERROR(INDEX(Mapping!$B$5:$B$40,MATCH(C29,Mapping!$A$5:$A$40,0)),"UNMAPPED"))</f>
        <v>BS</v>
      </c>
      <c r="E29" s="35" t="n">
        <v>-100</v>
      </c>
      <c r="F29" s="35" t="n">
        <v>-100</v>
      </c>
      <c r="G29" s="35" t="n">
        <v>-100</v>
      </c>
      <c r="H29" s="35" t="n">
        <v>-100</v>
      </c>
      <c r="I29" s="35" t="n">
        <v>-100</v>
      </c>
      <c r="J29" s="35" t="n">
        <v>-100</v>
      </c>
      <c r="K29" s="35" t="n">
        <v>-100</v>
      </c>
      <c r="L29" s="35" t="n">
        <v>-100</v>
      </c>
      <c r="M29" s="35" t="n">
        <v>-100</v>
      </c>
      <c r="N29" s="35" t="n">
        <v>-100</v>
      </c>
      <c r="O29" s="35"/>
      <c r="P29" s="35"/>
      <c r="Q29" s="35"/>
      <c r="R29" s="36" t="n">
        <f aca="false">IF(SUMPRODUCT(ABS(E29:Q29))=0,0,IF(OR(D29="IS",D29="BS"),0,1))</f>
        <v>0</v>
      </c>
    </row>
    <row r="30" customFormat="false" ht="15" hidden="false" customHeight="false" outlineLevel="0" collapsed="false">
      <c r="A30" s="34" t="n">
        <v>3100</v>
      </c>
      <c r="B30" s="34" t="s">
        <v>149</v>
      </c>
      <c r="C30" s="34" t="s">
        <v>150</v>
      </c>
      <c r="D30" s="28" t="str">
        <f aca="false">IF(C30="","",IFERROR(INDEX(Mapping!$B$5:$B$40,MATCH(C30,Mapping!$A$5:$A$40,0)),"UNMAPPED"))</f>
        <v>BS</v>
      </c>
      <c r="E30" s="35" t="n">
        <v>-1640900</v>
      </c>
      <c r="F30" s="35" t="n">
        <v>-1640900</v>
      </c>
      <c r="G30" s="35" t="n">
        <v>-1640900</v>
      </c>
      <c r="H30" s="35" t="n">
        <v>-1640900</v>
      </c>
      <c r="I30" s="35" t="n">
        <v>-1640900</v>
      </c>
      <c r="J30" s="35" t="n">
        <v>-1640900</v>
      </c>
      <c r="K30" s="35" t="n">
        <v>-1640900</v>
      </c>
      <c r="L30" s="35" t="n">
        <v>-1640900</v>
      </c>
      <c r="M30" s="35" t="n">
        <v>-1640900</v>
      </c>
      <c r="N30" s="35" t="n">
        <v>-1640900</v>
      </c>
      <c r="O30" s="35"/>
      <c r="P30" s="35"/>
      <c r="Q30" s="35"/>
      <c r="R30" s="36" t="n">
        <f aca="false">IF(SUMPRODUCT(ABS(E30:Q30))=0,0,IF(OR(D30="IS",D30="BS"),0,1))</f>
        <v>0</v>
      </c>
    </row>
    <row r="31" customFormat="false" ht="15" hidden="false" customHeight="false" outlineLevel="0" collapsed="false">
      <c r="A31" s="34" t="n">
        <v>3200</v>
      </c>
      <c r="B31" s="34" t="s">
        <v>151</v>
      </c>
      <c r="C31" s="34" t="s">
        <v>152</v>
      </c>
      <c r="D31" s="28" t="str">
        <f aca="false">IF(C31="","",IFERROR(INDEX(Mapping!$B$5:$B$40,MATCH(C31,Mapping!$A$5:$A$40,0)),"UNMAPPED"))</f>
        <v>BS</v>
      </c>
      <c r="E31" s="35" t="n">
        <v>0</v>
      </c>
      <c r="F31" s="35" t="n">
        <v>0</v>
      </c>
      <c r="G31" s="35" t="n">
        <v>0</v>
      </c>
      <c r="H31" s="35" t="n">
        <v>0</v>
      </c>
      <c r="I31" s="35" t="n">
        <v>0</v>
      </c>
      <c r="J31" s="35" t="n">
        <v>100000</v>
      </c>
      <c r="K31" s="35" t="n">
        <v>100000</v>
      </c>
      <c r="L31" s="35" t="n">
        <v>100000</v>
      </c>
      <c r="M31" s="35" t="n">
        <v>100000</v>
      </c>
      <c r="N31" s="35" t="n">
        <v>100000</v>
      </c>
      <c r="O31" s="35"/>
      <c r="P31" s="35"/>
      <c r="Q31" s="35"/>
      <c r="R31" s="36" t="n">
        <f aca="false">IF(SUMPRODUCT(ABS(E31:Q31))=0,0,IF(OR(D31="IS",D31="BS"),0,1))</f>
        <v>0</v>
      </c>
    </row>
    <row r="32" customFormat="false" ht="15" hidden="false" customHeight="false" outlineLevel="0" collapsed="false">
      <c r="A32" s="34" t="n">
        <v>4000</v>
      </c>
      <c r="B32" s="34" t="s">
        <v>153</v>
      </c>
      <c r="C32" s="34" t="s">
        <v>154</v>
      </c>
      <c r="D32" s="28" t="str">
        <f aca="false">IF(C32="","",IFERROR(INDEX(Mapping!$B$5:$B$40,MATCH(C32,Mapping!$A$5:$A$40,0)),"UNMAPPED"))</f>
        <v>IS</v>
      </c>
      <c r="E32" s="35"/>
      <c r="F32" s="35" t="n">
        <v>-491272</v>
      </c>
      <c r="G32" s="35" t="n">
        <v>-1004387</v>
      </c>
      <c r="H32" s="35" t="n">
        <v>-1557081</v>
      </c>
      <c r="I32" s="35" t="n">
        <v>-2111845</v>
      </c>
      <c r="J32" s="35" t="n">
        <v>-2701594</v>
      </c>
      <c r="K32" s="35" t="n">
        <v>-3279330</v>
      </c>
      <c r="L32" s="35" t="n">
        <v>-3892728</v>
      </c>
      <c r="M32" s="35" t="n">
        <v>-4501406</v>
      </c>
      <c r="N32" s="35" t="n">
        <v>-5137251</v>
      </c>
      <c r="O32" s="35"/>
      <c r="P32" s="35"/>
      <c r="Q32" s="35"/>
      <c r="R32" s="36" t="n">
        <f aca="false">IF(SUMPRODUCT(ABS(E32:Q32))=0,0,IF(OR(D32="IS",D32="BS"),0,1))</f>
        <v>0</v>
      </c>
    </row>
    <row r="33" customFormat="false" ht="15" hidden="false" customHeight="false" outlineLevel="0" collapsed="false">
      <c r="A33" s="34" t="n">
        <v>4010</v>
      </c>
      <c r="B33" s="34" t="s">
        <v>155</v>
      </c>
      <c r="C33" s="34" t="s">
        <v>154</v>
      </c>
      <c r="D33" s="28" t="str">
        <f aca="false">IF(C33="","",IFERROR(INDEX(Mapping!$B$5:$B$40,MATCH(C33,Mapping!$A$5:$A$40,0)),"UNMAPPED"))</f>
        <v>IS</v>
      </c>
      <c r="E33" s="35"/>
      <c r="F33" s="35" t="n">
        <v>-218838</v>
      </c>
      <c r="G33" s="35" t="n">
        <v>-453272</v>
      </c>
      <c r="H33" s="35" t="n">
        <v>-696005</v>
      </c>
      <c r="I33" s="35" t="n">
        <v>-945614</v>
      </c>
      <c r="J33" s="35" t="n">
        <v>-1196968</v>
      </c>
      <c r="K33" s="35" t="n">
        <v>-1445251</v>
      </c>
      <c r="L33" s="35" t="n">
        <v>-1712734</v>
      </c>
      <c r="M33" s="35" t="n">
        <v>-1989567</v>
      </c>
      <c r="N33" s="35" t="n">
        <v>-2267913</v>
      </c>
      <c r="O33" s="35"/>
      <c r="P33" s="35"/>
      <c r="Q33" s="35"/>
      <c r="R33" s="36" t="n">
        <f aca="false">IF(SUMPRODUCT(ABS(E33:Q33))=0,0,IF(OR(D33="IS",D33="BS"),0,1))</f>
        <v>0</v>
      </c>
    </row>
    <row r="34" customFormat="false" ht="15" hidden="false" customHeight="false" outlineLevel="0" collapsed="false">
      <c r="A34" s="34" t="n">
        <v>4900</v>
      </c>
      <c r="B34" s="34" t="s">
        <v>156</v>
      </c>
      <c r="C34" s="34" t="s">
        <v>157</v>
      </c>
      <c r="D34" s="28" t="str">
        <f aca="false">IF(C34="","",IFERROR(INDEX(Mapping!$B$5:$B$40,MATCH(C34,Mapping!$A$5:$A$40,0)),"UNMAPPED"))</f>
        <v>IS</v>
      </c>
      <c r="E34" s="35"/>
      <c r="F34" s="35" t="n">
        <v>-3845</v>
      </c>
      <c r="G34" s="35" t="n">
        <v>-7431</v>
      </c>
      <c r="H34" s="35" t="n">
        <v>-11212</v>
      </c>
      <c r="I34" s="35" t="n">
        <v>-14401</v>
      </c>
      <c r="J34" s="35" t="n">
        <v>-19475</v>
      </c>
      <c r="K34" s="35" t="n">
        <v>-23063</v>
      </c>
      <c r="L34" s="35" t="n">
        <v>-26381</v>
      </c>
      <c r="M34" s="35" t="n">
        <v>-30322</v>
      </c>
      <c r="N34" s="35" t="n">
        <v>-35627</v>
      </c>
      <c r="O34" s="35"/>
      <c r="P34" s="35"/>
      <c r="Q34" s="35"/>
      <c r="R34" s="36" t="n">
        <f aca="false">IF(SUMPRODUCT(ABS(E34:Q34))=0,0,IF(OR(D34="IS",D34="BS"),0,1))</f>
        <v>0</v>
      </c>
    </row>
    <row r="35" customFormat="false" ht="15" hidden="false" customHeight="false" outlineLevel="0" collapsed="false">
      <c r="A35" s="34" t="n">
        <v>4950</v>
      </c>
      <c r="B35" s="34" t="s">
        <v>158</v>
      </c>
      <c r="C35" s="34" t="s">
        <v>159</v>
      </c>
      <c r="D35" s="28" t="str">
        <f aca="false">IF(C35="","",IFERROR(INDEX(Mapping!$B$5:$B$40,MATCH(C35,Mapping!$A$5:$A$40,0)),"UNMAPPED"))</f>
        <v>IS</v>
      </c>
      <c r="E35" s="35"/>
      <c r="F35" s="35" t="n">
        <v>-750</v>
      </c>
      <c r="G35" s="35" t="n">
        <v>-1504</v>
      </c>
      <c r="H35" s="35" t="n">
        <v>-2262</v>
      </c>
      <c r="I35" s="35" t="n">
        <v>-3023</v>
      </c>
      <c r="J35" s="35" t="n">
        <v>-3788</v>
      </c>
      <c r="K35" s="35" t="n">
        <v>-4557</v>
      </c>
      <c r="L35" s="35" t="n">
        <v>-5330</v>
      </c>
      <c r="M35" s="35" t="n">
        <v>-6107</v>
      </c>
      <c r="N35" s="35" t="n">
        <v>-6888</v>
      </c>
      <c r="O35" s="35"/>
      <c r="P35" s="35"/>
      <c r="Q35" s="35"/>
      <c r="R35" s="36" t="n">
        <f aca="false">IF(SUMPRODUCT(ABS(E35:Q35))=0,0,IF(OR(D35="IS",D35="BS"),0,1))</f>
        <v>0</v>
      </c>
    </row>
    <row r="36" customFormat="false" ht="15" hidden="false" customHeight="false" outlineLevel="0" collapsed="false">
      <c r="A36" s="34" t="n">
        <v>5000</v>
      </c>
      <c r="B36" s="34" t="s">
        <v>160</v>
      </c>
      <c r="C36" s="34" t="s">
        <v>161</v>
      </c>
      <c r="D36" s="28" t="str">
        <f aca="false">IF(C36="","",IFERROR(INDEX(Mapping!$B$5:$B$40,MATCH(C36,Mapping!$A$5:$A$40,0)),"UNMAPPED"))</f>
        <v>IS</v>
      </c>
      <c r="E36" s="35"/>
      <c r="F36" s="35" t="n">
        <v>284938</v>
      </c>
      <c r="G36" s="35" t="n">
        <v>582545</v>
      </c>
      <c r="H36" s="35" t="n">
        <v>903108</v>
      </c>
      <c r="I36" s="35" t="n">
        <v>1224871</v>
      </c>
      <c r="J36" s="35" t="n">
        <v>1566925</v>
      </c>
      <c r="K36" s="35" t="n">
        <v>1902012</v>
      </c>
      <c r="L36" s="35" t="n">
        <v>2257783</v>
      </c>
      <c r="M36" s="35" t="n">
        <v>2610816</v>
      </c>
      <c r="N36" s="35" t="n">
        <v>2979606</v>
      </c>
      <c r="O36" s="35"/>
      <c r="P36" s="35"/>
      <c r="Q36" s="35"/>
      <c r="R36" s="36" t="n">
        <f aca="false">IF(SUMPRODUCT(ABS(E36:Q36))=0,0,IF(OR(D36="IS",D36="BS"),0,1))</f>
        <v>0</v>
      </c>
    </row>
    <row r="37" customFormat="false" ht="15" hidden="false" customHeight="false" outlineLevel="0" collapsed="false">
      <c r="A37" s="34" t="n">
        <v>5010</v>
      </c>
      <c r="B37" s="34" t="s">
        <v>162</v>
      </c>
      <c r="C37" s="34" t="s">
        <v>161</v>
      </c>
      <c r="D37" s="28" t="str">
        <f aca="false">IF(C37="","",IFERROR(INDEX(Mapping!$B$5:$B$40,MATCH(C37,Mapping!$A$5:$A$40,0)),"UNMAPPED"))</f>
        <v>IS</v>
      </c>
      <c r="E37" s="35"/>
      <c r="F37" s="35" t="n">
        <v>93897</v>
      </c>
      <c r="G37" s="35" t="n">
        <v>194219</v>
      </c>
      <c r="H37" s="35" t="n">
        <v>297415</v>
      </c>
      <c r="I37" s="35" t="n">
        <v>401747</v>
      </c>
      <c r="J37" s="35" t="n">
        <v>508118</v>
      </c>
      <c r="K37" s="35" t="n">
        <v>609476</v>
      </c>
      <c r="L37" s="35" t="n">
        <v>724628</v>
      </c>
      <c r="M37" s="35" t="n">
        <v>840545</v>
      </c>
      <c r="N37" s="35" t="n">
        <v>959341</v>
      </c>
      <c r="O37" s="35"/>
      <c r="P37" s="35"/>
      <c r="Q37" s="35"/>
      <c r="R37" s="36" t="n">
        <f aca="false">IF(SUMPRODUCT(ABS(E37:Q37))=0,0,IF(OR(D37="IS",D37="BS"),0,1))</f>
        <v>0</v>
      </c>
    </row>
    <row r="38" customFormat="false" ht="15" hidden="false" customHeight="false" outlineLevel="0" collapsed="false">
      <c r="A38" s="34" t="n">
        <v>5020</v>
      </c>
      <c r="B38" s="34" t="s">
        <v>163</v>
      </c>
      <c r="C38" s="34" t="s">
        <v>161</v>
      </c>
      <c r="D38" s="28" t="str">
        <f aca="false">IF(C38="","",IFERROR(INDEX(Mapping!$B$5:$B$40,MATCH(C38,Mapping!$A$5:$A$40,0)),"UNMAPPED"))</f>
        <v>IS</v>
      </c>
      <c r="E38" s="35"/>
      <c r="F38" s="35" t="n">
        <v>9825</v>
      </c>
      <c r="G38" s="35" t="n">
        <v>20087</v>
      </c>
      <c r="H38" s="35" t="n">
        <v>31141</v>
      </c>
      <c r="I38" s="35" t="n">
        <v>42236</v>
      </c>
      <c r="J38" s="35" t="n">
        <v>54031</v>
      </c>
      <c r="K38" s="35" t="n">
        <v>65586</v>
      </c>
      <c r="L38" s="35" t="n">
        <v>77854</v>
      </c>
      <c r="M38" s="35" t="n">
        <v>90028</v>
      </c>
      <c r="N38" s="35" t="n">
        <v>102745</v>
      </c>
      <c r="O38" s="35"/>
      <c r="P38" s="35"/>
      <c r="Q38" s="35"/>
      <c r="R38" s="36" t="n">
        <f aca="false">IF(SUMPRODUCT(ABS(E38:Q38))=0,0,IF(OR(D38="IS",D38="BS"),0,1))</f>
        <v>0</v>
      </c>
    </row>
    <row r="39" customFormat="false" ht="15" hidden="false" customHeight="false" outlineLevel="0" collapsed="false">
      <c r="A39" s="34" t="n">
        <v>6000</v>
      </c>
      <c r="B39" s="34" t="s">
        <v>164</v>
      </c>
      <c r="C39" s="34" t="s">
        <v>165</v>
      </c>
      <c r="D39" s="28" t="str">
        <f aca="false">IF(C39="","",IFERROR(INDEX(Mapping!$B$5:$B$40,MATCH(C39,Mapping!$A$5:$A$40,0)),"UNMAPPED"))</f>
        <v>IS</v>
      </c>
      <c r="E39" s="35"/>
      <c r="F39" s="35" t="n">
        <v>125600</v>
      </c>
      <c r="G39" s="35" t="n">
        <v>251800</v>
      </c>
      <c r="H39" s="35" t="n">
        <v>378600</v>
      </c>
      <c r="I39" s="35" t="n">
        <v>506000</v>
      </c>
      <c r="J39" s="35" t="n">
        <v>634000</v>
      </c>
      <c r="K39" s="35" t="n">
        <v>762600</v>
      </c>
      <c r="L39" s="35" t="n">
        <v>891800</v>
      </c>
      <c r="M39" s="35" t="n">
        <v>1021600</v>
      </c>
      <c r="N39" s="35" t="n">
        <v>1152000</v>
      </c>
      <c r="O39" s="35"/>
      <c r="P39" s="35"/>
      <c r="Q39" s="35"/>
      <c r="R39" s="36" t="n">
        <f aca="false">IF(SUMPRODUCT(ABS(E39:Q39))=0,0,IF(OR(D39="IS",D39="BS"),0,1))</f>
        <v>0</v>
      </c>
    </row>
    <row r="40" customFormat="false" ht="15" hidden="false" customHeight="false" outlineLevel="0" collapsed="false">
      <c r="A40" s="34" t="n">
        <v>6010</v>
      </c>
      <c r="B40" s="34" t="s">
        <v>166</v>
      </c>
      <c r="C40" s="34" t="s">
        <v>165</v>
      </c>
      <c r="D40" s="28" t="str">
        <f aca="false">IF(C40="","",IFERROR(INDEX(Mapping!$B$5:$B$40,MATCH(C40,Mapping!$A$5:$A$40,0)),"UNMAPPED"))</f>
        <v>IS</v>
      </c>
      <c r="E40" s="35"/>
      <c r="F40" s="35" t="n">
        <v>2412</v>
      </c>
      <c r="G40" s="35" t="n">
        <v>4836</v>
      </c>
      <c r="H40" s="35" t="n">
        <v>7272</v>
      </c>
      <c r="I40" s="35" t="n">
        <v>9720</v>
      </c>
      <c r="J40" s="35" t="n">
        <v>12180</v>
      </c>
      <c r="K40" s="35" t="n">
        <v>14652</v>
      </c>
      <c r="L40" s="35" t="n">
        <v>17136</v>
      </c>
      <c r="M40" s="35" t="n">
        <v>19632</v>
      </c>
      <c r="N40" s="35" t="n">
        <v>22140</v>
      </c>
      <c r="O40" s="35"/>
      <c r="P40" s="35"/>
      <c r="Q40" s="35"/>
      <c r="R40" s="36" t="n">
        <f aca="false">IF(SUMPRODUCT(ABS(E40:Q40))=0,0,IF(OR(D40="IS",D40="BS"),0,1))</f>
        <v>0</v>
      </c>
    </row>
    <row r="41" customFormat="false" ht="15" hidden="false" customHeight="false" outlineLevel="0" collapsed="false">
      <c r="A41" s="34" t="n">
        <v>6020</v>
      </c>
      <c r="B41" s="34" t="s">
        <v>167</v>
      </c>
      <c r="C41" s="34" t="s">
        <v>165</v>
      </c>
      <c r="D41" s="28" t="str">
        <f aca="false">IF(C41="","",IFERROR(INDEX(Mapping!$B$5:$B$40,MATCH(C41,Mapping!$A$5:$A$40,0)),"UNMAPPED"))</f>
        <v>IS</v>
      </c>
      <c r="E41" s="35"/>
      <c r="F41" s="35" t="n">
        <v>2758</v>
      </c>
      <c r="G41" s="35" t="n">
        <v>8400</v>
      </c>
      <c r="H41" s="35" t="n">
        <v>13508</v>
      </c>
      <c r="I41" s="35" t="n">
        <v>20343</v>
      </c>
      <c r="J41" s="35" t="n">
        <v>24854</v>
      </c>
      <c r="K41" s="35" t="n">
        <v>30349</v>
      </c>
      <c r="L41" s="35" t="n">
        <v>33086</v>
      </c>
      <c r="M41" s="35" t="n">
        <v>35405</v>
      </c>
      <c r="N41" s="35" t="n">
        <v>42357</v>
      </c>
      <c r="O41" s="35"/>
      <c r="P41" s="35"/>
      <c r="Q41" s="35"/>
      <c r="R41" s="36" t="n">
        <f aca="false">IF(SUMPRODUCT(ABS(E41:Q41))=0,0,IF(OR(D41="IS",D41="BS"),0,1))</f>
        <v>0</v>
      </c>
    </row>
    <row r="42" customFormat="false" ht="15" hidden="false" customHeight="false" outlineLevel="0" collapsed="false">
      <c r="A42" s="34" t="n">
        <v>6100</v>
      </c>
      <c r="B42" s="34" t="s">
        <v>168</v>
      </c>
      <c r="C42" s="34" t="s">
        <v>169</v>
      </c>
      <c r="D42" s="28" t="str">
        <f aca="false">IF(C42="","",IFERROR(INDEX(Mapping!$B$5:$B$40,MATCH(C42,Mapping!$A$5:$A$40,0)),"UNMAPPED"))</f>
        <v>IS</v>
      </c>
      <c r="E42" s="35"/>
      <c r="F42" s="35" t="n">
        <v>28000</v>
      </c>
      <c r="G42" s="35" t="n">
        <v>56000</v>
      </c>
      <c r="H42" s="35" t="n">
        <v>84000</v>
      </c>
      <c r="I42" s="35" t="n">
        <v>112000</v>
      </c>
      <c r="J42" s="35" t="n">
        <v>140000</v>
      </c>
      <c r="K42" s="35" t="n">
        <v>168000</v>
      </c>
      <c r="L42" s="35" t="n">
        <v>196000</v>
      </c>
      <c r="M42" s="35" t="n">
        <v>224000</v>
      </c>
      <c r="N42" s="35" t="n">
        <v>252000</v>
      </c>
      <c r="O42" s="35"/>
      <c r="P42" s="35"/>
      <c r="Q42" s="35"/>
      <c r="R42" s="36" t="n">
        <f aca="false">IF(SUMPRODUCT(ABS(E42:Q42))=0,0,IF(OR(D42="IS",D42="BS"),0,1))</f>
        <v>0</v>
      </c>
    </row>
    <row r="43" customFormat="false" ht="15" hidden="false" customHeight="false" outlineLevel="0" collapsed="false">
      <c r="A43" s="34" t="n">
        <v>6110</v>
      </c>
      <c r="B43" s="34" t="s">
        <v>170</v>
      </c>
      <c r="C43" s="34" t="s">
        <v>169</v>
      </c>
      <c r="D43" s="28" t="str">
        <f aca="false">IF(C43="","",IFERROR(INDEX(Mapping!$B$5:$B$40,MATCH(C43,Mapping!$A$5:$A$40,0)),"UNMAPPED"))</f>
        <v>IS</v>
      </c>
      <c r="E43" s="35"/>
      <c r="F43" s="35" t="n">
        <v>6000</v>
      </c>
      <c r="G43" s="35" t="n">
        <v>12000</v>
      </c>
      <c r="H43" s="35" t="n">
        <v>18000</v>
      </c>
      <c r="I43" s="35" t="n">
        <v>24000</v>
      </c>
      <c r="J43" s="35" t="n">
        <v>30000</v>
      </c>
      <c r="K43" s="35" t="n">
        <v>36000</v>
      </c>
      <c r="L43" s="35" t="n">
        <v>42000</v>
      </c>
      <c r="M43" s="35" t="n">
        <v>48000</v>
      </c>
      <c r="N43" s="35" t="n">
        <v>54000</v>
      </c>
      <c r="O43" s="35"/>
      <c r="P43" s="35"/>
      <c r="Q43" s="35"/>
      <c r="R43" s="36" t="n">
        <f aca="false">IF(SUMPRODUCT(ABS(E43:Q43))=0,0,IF(OR(D43="IS",D43="BS"),0,1))</f>
        <v>0</v>
      </c>
    </row>
    <row r="44" customFormat="false" ht="15" hidden="false" customHeight="false" outlineLevel="0" collapsed="false">
      <c r="A44" s="34" t="n">
        <v>6200</v>
      </c>
      <c r="B44" s="34" t="s">
        <v>171</v>
      </c>
      <c r="C44" s="34" t="s">
        <v>172</v>
      </c>
      <c r="D44" s="28" t="str">
        <f aca="false">IF(C44="","",IFERROR(INDEX(Mapping!$B$5:$B$40,MATCH(C44,Mapping!$A$5:$A$40,0)),"UNMAPPED"))</f>
        <v>IS</v>
      </c>
      <c r="E44" s="35"/>
      <c r="F44" s="35" t="n">
        <v>18611</v>
      </c>
      <c r="G44" s="35" t="n">
        <v>42148</v>
      </c>
      <c r="H44" s="35" t="n">
        <v>58615</v>
      </c>
      <c r="I44" s="35" t="n">
        <v>79990</v>
      </c>
      <c r="J44" s="35" t="n">
        <v>101260</v>
      </c>
      <c r="K44" s="35" t="n">
        <v>123911</v>
      </c>
      <c r="L44" s="35" t="n">
        <v>147556</v>
      </c>
      <c r="M44" s="35" t="n">
        <v>163758</v>
      </c>
      <c r="N44" s="35" t="n">
        <v>185271</v>
      </c>
      <c r="O44" s="35"/>
      <c r="P44" s="35"/>
      <c r="Q44" s="35"/>
      <c r="R44" s="36" t="n">
        <f aca="false">IF(SUMPRODUCT(ABS(E44:Q44))=0,0,IF(OR(D44="IS",D44="BS"),0,1))</f>
        <v>0</v>
      </c>
    </row>
    <row r="45" customFormat="false" ht="15" hidden="false" customHeight="false" outlineLevel="0" collapsed="false">
      <c r="A45" s="34" t="n">
        <v>6210</v>
      </c>
      <c r="B45" s="34" t="s">
        <v>173</v>
      </c>
      <c r="C45" s="34" t="s">
        <v>172</v>
      </c>
      <c r="D45" s="28" t="str">
        <f aca="false">IF(C45="","",IFERROR(INDEX(Mapping!$B$5:$B$40,MATCH(C45,Mapping!$A$5:$A$40,0)),"UNMAPPED"))</f>
        <v>IS</v>
      </c>
      <c r="E45" s="35"/>
      <c r="F45" s="35" t="n">
        <v>11003</v>
      </c>
      <c r="G45" s="35" t="n">
        <v>21029</v>
      </c>
      <c r="H45" s="35" t="n">
        <v>32306</v>
      </c>
      <c r="I45" s="35" t="n">
        <v>43101</v>
      </c>
      <c r="J45" s="35" t="n">
        <v>54925</v>
      </c>
      <c r="K45" s="35" t="n">
        <v>65571</v>
      </c>
      <c r="L45" s="35" t="n">
        <v>77034</v>
      </c>
      <c r="M45" s="35" t="n">
        <v>87986</v>
      </c>
      <c r="N45" s="35" t="n">
        <v>99287</v>
      </c>
      <c r="O45" s="35"/>
      <c r="P45" s="35"/>
      <c r="Q45" s="35"/>
      <c r="R45" s="36" t="n">
        <f aca="false">IF(SUMPRODUCT(ABS(E45:Q45))=0,0,IF(OR(D45="IS",D45="BS"),0,1))</f>
        <v>0</v>
      </c>
    </row>
    <row r="46" customFormat="false" ht="15" hidden="false" customHeight="false" outlineLevel="0" collapsed="false">
      <c r="A46" s="34" t="n">
        <v>6300</v>
      </c>
      <c r="B46" s="34" t="s">
        <v>174</v>
      </c>
      <c r="C46" s="34" t="s">
        <v>175</v>
      </c>
      <c r="D46" s="28" t="str">
        <f aca="false">IF(C46="","",IFERROR(INDEX(Mapping!$B$5:$B$40,MATCH(C46,Mapping!$A$5:$A$40,0)),"UNMAPPED"))</f>
        <v>IS</v>
      </c>
      <c r="E46" s="35"/>
      <c r="F46" s="35" t="n">
        <v>9000</v>
      </c>
      <c r="G46" s="35" t="n">
        <v>18000</v>
      </c>
      <c r="H46" s="35" t="n">
        <v>27000</v>
      </c>
      <c r="I46" s="35" t="n">
        <v>36000</v>
      </c>
      <c r="J46" s="35" t="n">
        <v>45000</v>
      </c>
      <c r="K46" s="35" t="n">
        <v>54000</v>
      </c>
      <c r="L46" s="35" t="n">
        <v>63000</v>
      </c>
      <c r="M46" s="35" t="n">
        <v>72000</v>
      </c>
      <c r="N46" s="35" t="n">
        <v>81000</v>
      </c>
      <c r="O46" s="35"/>
      <c r="P46" s="35"/>
      <c r="Q46" s="35"/>
      <c r="R46" s="36" t="n">
        <f aca="false">IF(SUMPRODUCT(ABS(E46:Q46))=0,0,IF(OR(D46="IS",D46="BS"),0,1))</f>
        <v>0</v>
      </c>
    </row>
    <row r="47" customFormat="false" ht="15" hidden="false" customHeight="false" outlineLevel="0" collapsed="false">
      <c r="A47" s="34" t="n">
        <v>6310</v>
      </c>
      <c r="B47" s="34" t="s">
        <v>176</v>
      </c>
      <c r="C47" s="34" t="s">
        <v>175</v>
      </c>
      <c r="D47" s="28" t="str">
        <f aca="false">IF(C47="","",IFERROR(INDEX(Mapping!$B$5:$B$40,MATCH(C47,Mapping!$A$5:$A$40,0)),"UNMAPPED"))</f>
        <v>IS</v>
      </c>
      <c r="E47" s="35"/>
      <c r="F47" s="35" t="n">
        <v>0</v>
      </c>
      <c r="G47" s="35" t="n">
        <v>0</v>
      </c>
      <c r="H47" s="35" t="n">
        <v>0</v>
      </c>
      <c r="I47" s="35" t="n">
        <v>0</v>
      </c>
      <c r="J47" s="35" t="n">
        <v>14000</v>
      </c>
      <c r="K47" s="35" t="n">
        <v>14000</v>
      </c>
      <c r="L47" s="35" t="n">
        <v>14000</v>
      </c>
      <c r="M47" s="35" t="n">
        <v>14000</v>
      </c>
      <c r="N47" s="35" t="n">
        <v>14000</v>
      </c>
      <c r="O47" s="35"/>
      <c r="P47" s="35"/>
      <c r="Q47" s="35"/>
      <c r="R47" s="36" t="n">
        <f aca="false">IF(SUMPRODUCT(ABS(E47:Q47))=0,0,IF(OR(D47="IS",D47="BS"),0,1))</f>
        <v>0</v>
      </c>
    </row>
    <row r="48" customFormat="false" ht="15" hidden="false" customHeight="false" outlineLevel="0" collapsed="false">
      <c r="A48" s="34" t="n">
        <v>6320</v>
      </c>
      <c r="B48" s="34" t="s">
        <v>177</v>
      </c>
      <c r="C48" s="34" t="s">
        <v>175</v>
      </c>
      <c r="D48" s="28" t="str">
        <f aca="false">IF(C48="","",IFERROR(INDEX(Mapping!$B$5:$B$40,MATCH(C48,Mapping!$A$5:$A$40,0)),"UNMAPPED"))</f>
        <v>IS</v>
      </c>
      <c r="E48" s="35"/>
      <c r="F48" s="35" t="n">
        <v>0</v>
      </c>
      <c r="G48" s="35" t="n">
        <v>0</v>
      </c>
      <c r="H48" s="35" t="n">
        <v>8000</v>
      </c>
      <c r="I48" s="35" t="n">
        <v>16000</v>
      </c>
      <c r="J48" s="35" t="n">
        <v>24000</v>
      </c>
      <c r="K48" s="35" t="n">
        <v>32000</v>
      </c>
      <c r="L48" s="35" t="n">
        <v>40000</v>
      </c>
      <c r="M48" s="35" t="n">
        <v>48000</v>
      </c>
      <c r="N48" s="35" t="n">
        <v>56000</v>
      </c>
      <c r="O48" s="35"/>
      <c r="P48" s="35"/>
      <c r="Q48" s="35"/>
      <c r="R48" s="36" t="n">
        <f aca="false">IF(SUMPRODUCT(ABS(E48:Q48))=0,0,IF(OR(D48="IS",D48="BS"),0,1))</f>
        <v>0</v>
      </c>
    </row>
    <row r="49" customFormat="false" ht="15" hidden="false" customHeight="false" outlineLevel="0" collapsed="false">
      <c r="A49" s="34" t="n">
        <v>6400</v>
      </c>
      <c r="B49" s="34" t="s">
        <v>178</v>
      </c>
      <c r="C49" s="34" t="s">
        <v>179</v>
      </c>
      <c r="D49" s="28" t="str">
        <f aca="false">IF(C49="","",IFERROR(INDEX(Mapping!$B$5:$B$40,MATCH(C49,Mapping!$A$5:$A$40,0)),"UNMAPPED"))</f>
        <v>IS</v>
      </c>
      <c r="E49" s="35"/>
      <c r="F49" s="35" t="n">
        <v>15502</v>
      </c>
      <c r="G49" s="35" t="n">
        <v>30318</v>
      </c>
      <c r="H49" s="35" t="n">
        <v>45386</v>
      </c>
      <c r="I49" s="35" t="n">
        <v>59693</v>
      </c>
      <c r="J49" s="35" t="n">
        <v>76164</v>
      </c>
      <c r="K49" s="35" t="n">
        <v>91590</v>
      </c>
      <c r="L49" s="35" t="n">
        <v>106999</v>
      </c>
      <c r="M49" s="35" t="n">
        <v>123346</v>
      </c>
      <c r="N49" s="35" t="n">
        <v>137899</v>
      </c>
      <c r="O49" s="35"/>
      <c r="P49" s="35"/>
      <c r="Q49" s="35"/>
      <c r="R49" s="36" t="n">
        <f aca="false">IF(SUMPRODUCT(ABS(E49:Q49))=0,0,IF(OR(D49="IS",D49="BS"),0,1))</f>
        <v>0</v>
      </c>
    </row>
    <row r="50" customFormat="false" ht="15" hidden="false" customHeight="false" outlineLevel="0" collapsed="false">
      <c r="A50" s="34" t="n">
        <v>6410</v>
      </c>
      <c r="B50" s="34" t="s">
        <v>180</v>
      </c>
      <c r="C50" s="34" t="s">
        <v>179</v>
      </c>
      <c r="D50" s="28" t="str">
        <f aca="false">IF(C50="","",IFERROR(INDEX(Mapping!$B$5:$B$40,MATCH(C50,Mapping!$A$5:$A$40,0)),"UNMAPPED"))</f>
        <v>IS</v>
      </c>
      <c r="E50" s="35"/>
      <c r="F50" s="35" t="n">
        <v>7592</v>
      </c>
      <c r="G50" s="35" t="n">
        <v>16461</v>
      </c>
      <c r="H50" s="35" t="n">
        <v>21705</v>
      </c>
      <c r="I50" s="35" t="n">
        <v>25664</v>
      </c>
      <c r="J50" s="35" t="n">
        <v>31711</v>
      </c>
      <c r="K50" s="35" t="n">
        <v>37393</v>
      </c>
      <c r="L50" s="35" t="n">
        <v>42837</v>
      </c>
      <c r="M50" s="35" t="n">
        <v>45877</v>
      </c>
      <c r="N50" s="35" t="n">
        <v>49826</v>
      </c>
      <c r="O50" s="35"/>
      <c r="P50" s="35"/>
      <c r="Q50" s="35"/>
      <c r="R50" s="36" t="n">
        <f aca="false">IF(SUMPRODUCT(ABS(E50:Q50))=0,0,IF(OR(D50="IS",D50="BS"),0,1))</f>
        <v>0</v>
      </c>
    </row>
    <row r="51" customFormat="false" ht="15" hidden="false" customHeight="false" outlineLevel="0" collapsed="false">
      <c r="A51" s="34" t="n">
        <v>6420</v>
      </c>
      <c r="B51" s="34" t="s">
        <v>181</v>
      </c>
      <c r="C51" s="34" t="s">
        <v>179</v>
      </c>
      <c r="D51" s="28" t="str">
        <f aca="false">IF(C51="","",IFERROR(INDEX(Mapping!$B$5:$B$40,MATCH(C51,Mapping!$A$5:$A$40,0)),"UNMAPPED"))</f>
        <v>IS</v>
      </c>
      <c r="E51" s="35"/>
      <c r="F51" s="35" t="n">
        <v>6344</v>
      </c>
      <c r="G51" s="35" t="n">
        <v>15435</v>
      </c>
      <c r="H51" s="35" t="n">
        <v>20706</v>
      </c>
      <c r="I51" s="35" t="n">
        <v>24035</v>
      </c>
      <c r="J51" s="35" t="n">
        <v>30466</v>
      </c>
      <c r="K51" s="35" t="n">
        <v>39501</v>
      </c>
      <c r="L51" s="35" t="n">
        <v>48851</v>
      </c>
      <c r="M51" s="35" t="n">
        <v>56966</v>
      </c>
      <c r="N51" s="35" t="n">
        <v>63599</v>
      </c>
      <c r="O51" s="35"/>
      <c r="P51" s="35"/>
      <c r="Q51" s="35"/>
      <c r="R51" s="36" t="n">
        <f aca="false">IF(SUMPRODUCT(ABS(E51:Q51))=0,0,IF(OR(D51="IS",D51="BS"),0,1))</f>
        <v>0</v>
      </c>
    </row>
    <row r="52" customFormat="false" ht="15" hidden="false" customHeight="false" outlineLevel="0" collapsed="false">
      <c r="A52" s="34" t="n">
        <v>6500</v>
      </c>
      <c r="B52" s="34" t="s">
        <v>182</v>
      </c>
      <c r="C52" s="34" t="s">
        <v>183</v>
      </c>
      <c r="D52" s="28" t="str">
        <f aca="false">IF(C52="","",IFERROR(INDEX(Mapping!$B$5:$B$40,MATCH(C52,Mapping!$A$5:$A$40,0)),"UNMAPPED"))</f>
        <v>IS</v>
      </c>
      <c r="E52" s="35"/>
      <c r="F52" s="35" t="n">
        <v>12277</v>
      </c>
      <c r="G52" s="35" t="n">
        <v>24643</v>
      </c>
      <c r="H52" s="35" t="n">
        <v>36746</v>
      </c>
      <c r="I52" s="35" t="n">
        <v>48205</v>
      </c>
      <c r="J52" s="35" t="n">
        <v>63460</v>
      </c>
      <c r="K52" s="35" t="n">
        <v>78100</v>
      </c>
      <c r="L52" s="35" t="n">
        <v>93801</v>
      </c>
      <c r="M52" s="35" t="n">
        <v>108423</v>
      </c>
      <c r="N52" s="35" t="n">
        <v>120973</v>
      </c>
      <c r="O52" s="35"/>
      <c r="P52" s="35"/>
      <c r="Q52" s="35"/>
      <c r="R52" s="36" t="n">
        <f aca="false">IF(SUMPRODUCT(ABS(E52:Q52))=0,0,IF(OR(D52="IS",D52="BS"),0,1))</f>
        <v>0</v>
      </c>
    </row>
    <row r="53" customFormat="false" ht="15" hidden="false" customHeight="false" outlineLevel="0" collapsed="false">
      <c r="A53" s="34" t="n">
        <v>6510</v>
      </c>
      <c r="B53" s="34" t="s">
        <v>184</v>
      </c>
      <c r="C53" s="34" t="s">
        <v>183</v>
      </c>
      <c r="D53" s="28" t="str">
        <f aca="false">IF(C53="","",IFERROR(INDEX(Mapping!$B$5:$B$40,MATCH(C53,Mapping!$A$5:$A$40,0)),"UNMAPPED"))</f>
        <v>IS</v>
      </c>
      <c r="E53" s="35"/>
      <c r="F53" s="35" t="n">
        <v>6000</v>
      </c>
      <c r="G53" s="35" t="n">
        <v>12000</v>
      </c>
      <c r="H53" s="35" t="n">
        <v>18000</v>
      </c>
      <c r="I53" s="35" t="n">
        <v>24000</v>
      </c>
      <c r="J53" s="35" t="n">
        <v>30000</v>
      </c>
      <c r="K53" s="35" t="n">
        <v>36000</v>
      </c>
      <c r="L53" s="35" t="n">
        <v>42000</v>
      </c>
      <c r="M53" s="35" t="n">
        <v>48000</v>
      </c>
      <c r="N53" s="35" t="n">
        <v>54000</v>
      </c>
      <c r="O53" s="35"/>
      <c r="P53" s="35"/>
      <c r="Q53" s="35"/>
      <c r="R53" s="36" t="n">
        <f aca="false">IF(SUMPRODUCT(ABS(E53:Q53))=0,0,IF(OR(D53="IS",D53="BS"),0,1))</f>
        <v>0</v>
      </c>
    </row>
    <row r="54" customFormat="false" ht="15" hidden="false" customHeight="false" outlineLevel="0" collapsed="false">
      <c r="A54" s="34" t="n">
        <v>6600</v>
      </c>
      <c r="B54" s="34" t="s">
        <v>185</v>
      </c>
      <c r="C54" s="34" t="s">
        <v>185</v>
      </c>
      <c r="D54" s="28" t="str">
        <f aca="false">IF(C54="","",IFERROR(INDEX(Mapping!$B$5:$B$40,MATCH(C54,Mapping!$A$5:$A$40,0)),"UNMAPPED"))</f>
        <v>IS</v>
      </c>
      <c r="E54" s="35"/>
      <c r="F54" s="35" t="n">
        <v>12417</v>
      </c>
      <c r="G54" s="35" t="n">
        <v>27613</v>
      </c>
      <c r="H54" s="35" t="n">
        <v>36794</v>
      </c>
      <c r="I54" s="35" t="n">
        <v>48450</v>
      </c>
      <c r="J54" s="35" t="n">
        <v>55342</v>
      </c>
      <c r="K54" s="35" t="n">
        <v>64369</v>
      </c>
      <c r="L54" s="35" t="n">
        <v>77678</v>
      </c>
      <c r="M54" s="35" t="n">
        <v>88331</v>
      </c>
      <c r="N54" s="35" t="n">
        <v>102043</v>
      </c>
      <c r="O54" s="35"/>
      <c r="P54" s="35"/>
      <c r="Q54" s="35"/>
      <c r="R54" s="36" t="n">
        <f aca="false">IF(SUMPRODUCT(ABS(E54:Q54))=0,0,IF(OR(D54="IS",D54="BS"),0,1))</f>
        <v>0</v>
      </c>
    </row>
    <row r="55" customFormat="false" ht="15" hidden="false" customHeight="false" outlineLevel="0" collapsed="false">
      <c r="A55" s="34" t="n">
        <v>6700</v>
      </c>
      <c r="B55" s="34" t="s">
        <v>186</v>
      </c>
      <c r="C55" s="34" t="s">
        <v>186</v>
      </c>
      <c r="D55" s="28" t="str">
        <f aca="false">IF(C55="","",IFERROR(INDEX(Mapping!$B$5:$B$40,MATCH(C55,Mapping!$A$5:$A$40,0)),"UNMAPPED"))</f>
        <v>IS</v>
      </c>
      <c r="E55" s="35"/>
      <c r="F55" s="35" t="n">
        <v>9000</v>
      </c>
      <c r="G55" s="35" t="n">
        <v>18000</v>
      </c>
      <c r="H55" s="35" t="n">
        <v>27000</v>
      </c>
      <c r="I55" s="35" t="n">
        <v>36000</v>
      </c>
      <c r="J55" s="35" t="n">
        <v>45000</v>
      </c>
      <c r="K55" s="35" t="n">
        <v>54000</v>
      </c>
      <c r="L55" s="35" t="n">
        <v>63000</v>
      </c>
      <c r="M55" s="35" t="n">
        <v>72000</v>
      </c>
      <c r="N55" s="35" t="n">
        <v>81000</v>
      </c>
      <c r="O55" s="35"/>
      <c r="P55" s="35"/>
      <c r="Q55" s="35"/>
      <c r="R55" s="36" t="n">
        <f aca="false">IF(SUMPRODUCT(ABS(E55:Q55))=0,0,IF(OR(D55="IS",D55="BS"),0,1))</f>
        <v>0</v>
      </c>
    </row>
    <row r="56" customFormat="false" ht="15" hidden="false" customHeight="false" outlineLevel="0" collapsed="false">
      <c r="A56" s="34" t="n">
        <v>6800</v>
      </c>
      <c r="B56" s="34" t="s">
        <v>187</v>
      </c>
      <c r="C56" s="34" t="s">
        <v>187</v>
      </c>
      <c r="D56" s="28" t="str">
        <f aca="false">IF(C56="","",IFERROR(INDEX(Mapping!$B$5:$B$40,MATCH(C56,Mapping!$A$5:$A$40,0)),"UNMAPPED"))</f>
        <v>IS</v>
      </c>
      <c r="E56" s="35"/>
      <c r="F56" s="35" t="n">
        <v>4733</v>
      </c>
      <c r="G56" s="35" t="n">
        <v>9538</v>
      </c>
      <c r="H56" s="35" t="n">
        <v>14638</v>
      </c>
      <c r="I56" s="35" t="n">
        <v>19646</v>
      </c>
      <c r="J56" s="35" t="n">
        <v>24551</v>
      </c>
      <c r="K56" s="35" t="n">
        <v>29693</v>
      </c>
      <c r="L56" s="35" t="n">
        <v>34445</v>
      </c>
      <c r="M56" s="35" t="n">
        <v>39486</v>
      </c>
      <c r="N56" s="35" t="n">
        <v>44527</v>
      </c>
      <c r="O56" s="35"/>
      <c r="P56" s="35"/>
      <c r="Q56" s="35"/>
      <c r="R56" s="36" t="n">
        <f aca="false">IF(SUMPRODUCT(ABS(E56:Q56))=0,0,IF(OR(D56="IS",D56="BS"),0,1))</f>
        <v>0</v>
      </c>
    </row>
    <row r="57" customFormat="false" ht="15" hidden="false" customHeight="false" outlineLevel="0" collapsed="false">
      <c r="A57" s="34" t="n">
        <v>6900</v>
      </c>
      <c r="B57" s="34" t="s">
        <v>188</v>
      </c>
      <c r="C57" s="34" t="s">
        <v>189</v>
      </c>
      <c r="D57" s="28" t="str">
        <f aca="false">IF(C57="","",IFERROR(INDEX(Mapping!$B$5:$B$40,MATCH(C57,Mapping!$A$5:$A$40,0)),"UNMAPPED"))</f>
        <v>IS</v>
      </c>
      <c r="E57" s="35"/>
      <c r="F57" s="35" t="n">
        <v>3002</v>
      </c>
      <c r="G57" s="35" t="n">
        <v>5529</v>
      </c>
      <c r="H57" s="35" t="n">
        <v>7262</v>
      </c>
      <c r="I57" s="35" t="n">
        <v>10536</v>
      </c>
      <c r="J57" s="35" t="n">
        <v>13636</v>
      </c>
      <c r="K57" s="35" t="n">
        <v>16159</v>
      </c>
      <c r="L57" s="35" t="n">
        <v>18617</v>
      </c>
      <c r="M57" s="35" t="n">
        <v>21621</v>
      </c>
      <c r="N57" s="35" t="n">
        <v>24130</v>
      </c>
      <c r="O57" s="35"/>
      <c r="P57" s="35"/>
      <c r="Q57" s="35"/>
      <c r="R57" s="36" t="n">
        <f aca="false">IF(SUMPRODUCT(ABS(E57:Q57))=0,0,IF(OR(D57="IS",D57="BS"),0,1))</f>
        <v>0</v>
      </c>
    </row>
    <row r="58" customFormat="false" ht="15" hidden="false" customHeight="false" outlineLevel="0" collapsed="false">
      <c r="A58" s="34" t="n">
        <v>6910</v>
      </c>
      <c r="B58" s="34" t="s">
        <v>190</v>
      </c>
      <c r="C58" s="34" t="s">
        <v>189</v>
      </c>
      <c r="D58" s="28" t="str">
        <f aca="false">IF(C58="","",IFERROR(INDEX(Mapping!$B$5:$B$40,MATCH(C58,Mapping!$A$5:$A$40,0)),"UNMAPPED"))</f>
        <v>IS</v>
      </c>
      <c r="E58" s="35"/>
      <c r="F58" s="35" t="n">
        <v>7000</v>
      </c>
      <c r="G58" s="35" t="n">
        <v>14000</v>
      </c>
      <c r="H58" s="35" t="n">
        <v>21000</v>
      </c>
      <c r="I58" s="35" t="n">
        <v>28000</v>
      </c>
      <c r="J58" s="35" t="n">
        <v>35000</v>
      </c>
      <c r="K58" s="35" t="n">
        <v>42000</v>
      </c>
      <c r="L58" s="35" t="n">
        <v>49000</v>
      </c>
      <c r="M58" s="35" t="n">
        <v>56000</v>
      </c>
      <c r="N58" s="35" t="n">
        <v>63000</v>
      </c>
      <c r="O58" s="35"/>
      <c r="P58" s="35"/>
      <c r="Q58" s="35"/>
      <c r="R58" s="36" t="n">
        <f aca="false">IF(SUMPRODUCT(ABS(E58:Q58))=0,0,IF(OR(D58="IS",D58="BS"),0,1))</f>
        <v>0</v>
      </c>
    </row>
    <row r="59" customFormat="false" ht="15" hidden="false" customHeight="false" outlineLevel="0" collapsed="false">
      <c r="A59" s="34" t="n">
        <v>6920</v>
      </c>
      <c r="B59" s="34" t="s">
        <v>191</v>
      </c>
      <c r="C59" s="34" t="s">
        <v>189</v>
      </c>
      <c r="D59" s="28" t="str">
        <f aca="false">IF(C59="","",IFERROR(INDEX(Mapping!$B$5:$B$40,MATCH(C59,Mapping!$A$5:$A$40,0)),"UNMAPPED"))</f>
        <v>IS</v>
      </c>
      <c r="E59" s="35"/>
      <c r="F59" s="35" t="n">
        <v>2000</v>
      </c>
      <c r="G59" s="35" t="n">
        <v>4000</v>
      </c>
      <c r="H59" s="35" t="n">
        <v>6000</v>
      </c>
      <c r="I59" s="35" t="n">
        <v>8000</v>
      </c>
      <c r="J59" s="35" t="n">
        <v>10000</v>
      </c>
      <c r="K59" s="35" t="n">
        <v>12000</v>
      </c>
      <c r="L59" s="35" t="n">
        <v>14000</v>
      </c>
      <c r="M59" s="35" t="n">
        <v>16000</v>
      </c>
      <c r="N59" s="35" t="n">
        <v>18000</v>
      </c>
      <c r="O59" s="35"/>
      <c r="P59" s="35"/>
      <c r="Q59" s="35"/>
      <c r="R59" s="36" t="n">
        <f aca="false">IF(SUMPRODUCT(ABS(E59:Q59))=0,0,IF(OR(D59="IS",D59="BS"),0,1))</f>
        <v>0</v>
      </c>
    </row>
    <row r="60" customFormat="false" ht="15" hidden="false" customHeight="false" outlineLevel="0" collapsed="false">
      <c r="A60" s="34" t="n">
        <v>6990</v>
      </c>
      <c r="B60" s="34" t="s">
        <v>192</v>
      </c>
      <c r="C60" s="34" t="s">
        <v>189</v>
      </c>
      <c r="D60" s="28" t="str">
        <f aca="false">IF(C60="","",IFERROR(INDEX(Mapping!$B$5:$B$40,MATCH(C60,Mapping!$A$5:$A$40,0)),"UNMAPPED"))</f>
        <v>IS</v>
      </c>
      <c r="E60" s="35"/>
      <c r="F60" s="35" t="n">
        <v>4581</v>
      </c>
      <c r="G60" s="35" t="n">
        <v>6917</v>
      </c>
      <c r="H60" s="35" t="n">
        <v>11145</v>
      </c>
      <c r="I60" s="35" t="n">
        <v>13596</v>
      </c>
      <c r="J60" s="35" t="n">
        <v>17804</v>
      </c>
      <c r="K60" s="35" t="n">
        <v>23439</v>
      </c>
      <c r="L60" s="35" t="n">
        <v>25722</v>
      </c>
      <c r="M60" s="35" t="n">
        <v>31930</v>
      </c>
      <c r="N60" s="35" t="n">
        <v>34302</v>
      </c>
      <c r="O60" s="35"/>
      <c r="P60" s="35"/>
      <c r="Q60" s="35"/>
      <c r="R60" s="36" t="n">
        <f aca="false">IF(SUMPRODUCT(ABS(E60:Q60))=0,0,IF(OR(D60="IS",D60="BS"),0,1))</f>
        <v>0</v>
      </c>
    </row>
    <row r="61" customFormat="false" ht="15" hidden="false" customHeight="false" outlineLevel="0" collapsed="false">
      <c r="A61" s="34" t="n">
        <v>7000</v>
      </c>
      <c r="B61" s="34" t="s">
        <v>193</v>
      </c>
      <c r="C61" s="34" t="s">
        <v>194</v>
      </c>
      <c r="D61" s="28" t="str">
        <f aca="false">IF(C61="","",IFERROR(INDEX(Mapping!$B$5:$B$40,MATCH(C61,Mapping!$A$5:$A$40,0)),"UNMAPPED"))</f>
        <v>IS</v>
      </c>
      <c r="E61" s="35"/>
      <c r="F61" s="35" t="n">
        <v>14500</v>
      </c>
      <c r="G61" s="35" t="n">
        <v>29000</v>
      </c>
      <c r="H61" s="35" t="n">
        <v>43500</v>
      </c>
      <c r="I61" s="35" t="n">
        <v>58000</v>
      </c>
      <c r="J61" s="35" t="n">
        <v>75500</v>
      </c>
      <c r="K61" s="35" t="n">
        <v>93000</v>
      </c>
      <c r="L61" s="35" t="n">
        <v>110500</v>
      </c>
      <c r="M61" s="35" t="n">
        <v>128750</v>
      </c>
      <c r="N61" s="35" t="n">
        <v>147000</v>
      </c>
      <c r="O61" s="35"/>
      <c r="P61" s="35"/>
      <c r="Q61" s="35"/>
      <c r="R61" s="36" t="n">
        <f aca="false">IF(SUMPRODUCT(ABS(E61:Q61))=0,0,IF(OR(D61="IS",D61="BS"),0,1))</f>
        <v>0</v>
      </c>
    </row>
    <row r="62" customFormat="false" ht="15" hidden="false" customHeight="false" outlineLevel="0" collapsed="false">
      <c r="A62" s="34" t="n">
        <v>7010</v>
      </c>
      <c r="B62" s="34" t="s">
        <v>195</v>
      </c>
      <c r="C62" s="34" t="s">
        <v>194</v>
      </c>
      <c r="D62" s="28" t="str">
        <f aca="false">IF(C62="","",IFERROR(INDEX(Mapping!$B$5:$B$40,MATCH(C62,Mapping!$A$5:$A$40,0)),"UNMAPPED"))</f>
        <v>IS</v>
      </c>
      <c r="E62" s="35"/>
      <c r="F62" s="35" t="n">
        <v>1500</v>
      </c>
      <c r="G62" s="35" t="n">
        <v>3000</v>
      </c>
      <c r="H62" s="35" t="n">
        <v>4500</v>
      </c>
      <c r="I62" s="35" t="n">
        <v>6000</v>
      </c>
      <c r="J62" s="35" t="n">
        <v>7500</v>
      </c>
      <c r="K62" s="35" t="n">
        <v>9000</v>
      </c>
      <c r="L62" s="35" t="n">
        <v>10500</v>
      </c>
      <c r="M62" s="35" t="n">
        <v>12000</v>
      </c>
      <c r="N62" s="35" t="n">
        <v>13500</v>
      </c>
      <c r="O62" s="35"/>
      <c r="P62" s="35"/>
      <c r="Q62" s="35"/>
      <c r="R62" s="36" t="n">
        <f aca="false">IF(SUMPRODUCT(ABS(E62:Q62))=0,0,IF(OR(D62="IS",D62="BS"),0,1))</f>
        <v>0</v>
      </c>
    </row>
    <row r="63" customFormat="false" ht="15" hidden="false" customHeight="false" outlineLevel="0" collapsed="false">
      <c r="A63" s="34" t="n">
        <v>7100</v>
      </c>
      <c r="B63" s="34" t="s">
        <v>196</v>
      </c>
      <c r="C63" s="34" t="s">
        <v>197</v>
      </c>
      <c r="D63" s="28" t="str">
        <f aca="false">IF(C63="","",IFERROR(INDEX(Mapping!$B$5:$B$40,MATCH(C63,Mapping!$A$5:$A$40,0)),"UNMAPPED"))</f>
        <v>IS</v>
      </c>
      <c r="E63" s="35"/>
      <c r="F63" s="35" t="n">
        <v>8800</v>
      </c>
      <c r="G63" s="35" t="n">
        <v>17303</v>
      </c>
      <c r="H63" s="35" t="n">
        <v>25509</v>
      </c>
      <c r="I63" s="35" t="n">
        <v>33418</v>
      </c>
      <c r="J63" s="35" t="n">
        <v>41030</v>
      </c>
      <c r="K63" s="35" t="n">
        <v>48345</v>
      </c>
      <c r="L63" s="35" t="n">
        <v>55363</v>
      </c>
      <c r="M63" s="35" t="n">
        <v>62084</v>
      </c>
      <c r="N63" s="35" t="n">
        <v>68508</v>
      </c>
      <c r="O63" s="35"/>
      <c r="P63" s="35"/>
      <c r="Q63" s="35"/>
      <c r="R63" s="36" t="n">
        <f aca="false">IF(SUMPRODUCT(ABS(E63:Q63))=0,0,IF(OR(D63="IS",D63="BS"),0,1))</f>
        <v>0</v>
      </c>
    </row>
    <row r="64" customFormat="false" ht="15" hidden="false" customHeight="false" outlineLevel="0" collapsed="false">
      <c r="A64" s="34" t="n">
        <v>7110</v>
      </c>
      <c r="B64" s="34" t="s">
        <v>198</v>
      </c>
      <c r="C64" s="34" t="s">
        <v>197</v>
      </c>
      <c r="D64" s="28" t="str">
        <f aca="false">IF(C64="","",IFERROR(INDEX(Mapping!$B$5:$B$40,MATCH(C64,Mapping!$A$5:$A$40,0)),"UNMAPPED"))</f>
        <v>IS</v>
      </c>
      <c r="E64" s="35"/>
      <c r="F64" s="35" t="n">
        <v>0</v>
      </c>
      <c r="G64" s="35" t="n">
        <v>0</v>
      </c>
      <c r="H64" s="35" t="n">
        <v>0</v>
      </c>
      <c r="I64" s="35" t="n">
        <v>2350</v>
      </c>
      <c r="J64" s="35" t="n">
        <v>2350</v>
      </c>
      <c r="K64" s="35" t="n">
        <v>2350</v>
      </c>
      <c r="L64" s="35" t="n">
        <v>2350</v>
      </c>
      <c r="M64" s="35" t="n">
        <v>2350</v>
      </c>
      <c r="N64" s="35" t="n">
        <v>2350</v>
      </c>
      <c r="O64" s="35"/>
      <c r="P64" s="35"/>
      <c r="Q64" s="35"/>
      <c r="R64" s="36" t="n">
        <f aca="false">IF(SUMPRODUCT(ABS(E64:Q64))=0,0,IF(OR(D64="IS",D64="BS"),0,1))</f>
        <v>0</v>
      </c>
    </row>
    <row r="65" customFormat="false" ht="15" hidden="false" customHeight="false" outlineLevel="0" collapsed="false">
      <c r="A65" s="34" t="n">
        <v>7500</v>
      </c>
      <c r="B65" s="34" t="s">
        <v>199</v>
      </c>
      <c r="C65" s="34" t="s">
        <v>199</v>
      </c>
      <c r="D65" s="28" t="str">
        <f aca="false">IF(C65="","",IFERROR(INDEX(Mapping!$B$5:$B$40,MATCH(C65,Mapping!$A$5:$A$40,0)),"UNMAPPED"))</f>
        <v>IS</v>
      </c>
      <c r="E65" s="35"/>
      <c r="F65" s="35" t="n">
        <v>2002</v>
      </c>
      <c r="G65" s="35" t="n">
        <v>5879</v>
      </c>
      <c r="H65" s="35" t="n">
        <v>18280</v>
      </c>
      <c r="I65" s="35" t="n">
        <v>30586</v>
      </c>
      <c r="J65" s="35" t="n">
        <v>41315</v>
      </c>
      <c r="K65" s="35" t="n">
        <v>53218</v>
      </c>
      <c r="L65" s="35" t="n">
        <v>70101</v>
      </c>
      <c r="M65" s="35" t="n">
        <v>91386</v>
      </c>
      <c r="N65" s="35" t="n">
        <v>114284</v>
      </c>
      <c r="O65" s="35"/>
      <c r="P65" s="35"/>
      <c r="Q65" s="35"/>
      <c r="R65" s="36" t="n">
        <f aca="false">IF(SUMPRODUCT(ABS(E65:Q65))=0,0,IF(OR(D65="IS",D65="BS"),0,1))</f>
        <v>0</v>
      </c>
    </row>
    <row r="66" customFormat="false" ht="15" hidden="false" customHeight="false" outlineLevel="0" collapsed="false">
      <c r="A66" s="34"/>
      <c r="B66" s="34"/>
      <c r="C66" s="34"/>
      <c r="D66" s="28" t="str">
        <f aca="false">IF(C66="","",IFERROR(INDEX(Mapping!$B$5:$B$40,MATCH(C66,Mapping!$A$5:$A$40,0)),"UNMAPPED"))</f>
        <v/>
      </c>
      <c r="E66" s="35"/>
      <c r="F66" s="35"/>
      <c r="G66" s="35"/>
      <c r="H66" s="35"/>
      <c r="I66" s="35"/>
      <c r="J66" s="35"/>
      <c r="K66" s="35"/>
      <c r="L66" s="35"/>
      <c r="M66" s="35"/>
      <c r="N66" s="35"/>
      <c r="O66" s="35"/>
      <c r="P66" s="35"/>
      <c r="Q66" s="35"/>
      <c r="R66" s="36" t="n">
        <f aca="false">IF(SUMPRODUCT(ABS(E66:Q66))=0,0,IF(OR(D66="IS",D66="BS"),0,1))</f>
        <v>0</v>
      </c>
    </row>
    <row r="67" customFormat="false" ht="15" hidden="false" customHeight="false" outlineLevel="0" collapsed="false">
      <c r="A67" s="34"/>
      <c r="B67" s="34"/>
      <c r="C67" s="34"/>
      <c r="D67" s="28" t="str">
        <f aca="false">IF(C67="","",IFERROR(INDEX(Mapping!$B$5:$B$40,MATCH(C67,Mapping!$A$5:$A$40,0)),"UNMAPPED"))</f>
        <v/>
      </c>
      <c r="E67" s="35"/>
      <c r="F67" s="35"/>
      <c r="G67" s="35"/>
      <c r="H67" s="35"/>
      <c r="I67" s="35"/>
      <c r="J67" s="35"/>
      <c r="K67" s="35"/>
      <c r="L67" s="35"/>
      <c r="M67" s="35"/>
      <c r="N67" s="35"/>
      <c r="O67" s="35"/>
      <c r="P67" s="35"/>
      <c r="Q67" s="35"/>
      <c r="R67" s="36" t="n">
        <f aca="false">IF(SUMPRODUCT(ABS(E67:Q67))=0,0,IF(OR(D67="IS",D67="BS"),0,1))</f>
        <v>0</v>
      </c>
    </row>
    <row r="68" customFormat="false" ht="15" hidden="false" customHeight="false" outlineLevel="0" collapsed="false">
      <c r="A68" s="34"/>
      <c r="B68" s="34"/>
      <c r="C68" s="34"/>
      <c r="D68" s="28" t="str">
        <f aca="false">IF(C68="","",IFERROR(INDEX(Mapping!$B$5:$B$40,MATCH(C68,Mapping!$A$5:$A$40,0)),"UNMAPPED"))</f>
        <v/>
      </c>
      <c r="E68" s="35"/>
      <c r="F68" s="35"/>
      <c r="G68" s="35"/>
      <c r="H68" s="35"/>
      <c r="I68" s="35"/>
      <c r="J68" s="35"/>
      <c r="K68" s="35"/>
      <c r="L68" s="35"/>
      <c r="M68" s="35"/>
      <c r="N68" s="35"/>
      <c r="O68" s="35"/>
      <c r="P68" s="35"/>
      <c r="Q68" s="35"/>
      <c r="R68" s="36" t="n">
        <f aca="false">IF(SUMPRODUCT(ABS(E68:Q68))=0,0,IF(OR(D68="IS",D68="BS"),0,1))</f>
        <v>0</v>
      </c>
    </row>
    <row r="69" customFormat="false" ht="15" hidden="false" customHeight="false" outlineLevel="0" collapsed="false">
      <c r="A69" s="34"/>
      <c r="B69" s="34"/>
      <c r="C69" s="34"/>
      <c r="D69" s="28" t="str">
        <f aca="false">IF(C69="","",IFERROR(INDEX(Mapping!$B$5:$B$40,MATCH(C69,Mapping!$A$5:$A$40,0)),"UNMAPPED"))</f>
        <v/>
      </c>
      <c r="E69" s="35"/>
      <c r="F69" s="35"/>
      <c r="G69" s="35"/>
      <c r="H69" s="35"/>
      <c r="I69" s="35"/>
      <c r="J69" s="35"/>
      <c r="K69" s="35"/>
      <c r="L69" s="35"/>
      <c r="M69" s="35"/>
      <c r="N69" s="35"/>
      <c r="O69" s="35"/>
      <c r="P69" s="35"/>
      <c r="Q69" s="35"/>
      <c r="R69" s="36" t="n">
        <f aca="false">IF(SUMPRODUCT(ABS(E69:Q69))=0,0,IF(OR(D69="IS",D69="BS"),0,1))</f>
        <v>0</v>
      </c>
    </row>
    <row r="70" customFormat="false" ht="15" hidden="false" customHeight="false" outlineLevel="0" collapsed="false">
      <c r="A70" s="34"/>
      <c r="B70" s="34"/>
      <c r="C70" s="34"/>
      <c r="D70" s="28" t="str">
        <f aca="false">IF(C70="","",IFERROR(INDEX(Mapping!$B$5:$B$40,MATCH(C70,Mapping!$A$5:$A$40,0)),"UNMAPPED"))</f>
        <v/>
      </c>
      <c r="E70" s="35"/>
      <c r="F70" s="35"/>
      <c r="G70" s="35"/>
      <c r="H70" s="35"/>
      <c r="I70" s="35"/>
      <c r="J70" s="35"/>
      <c r="K70" s="35"/>
      <c r="L70" s="35"/>
      <c r="M70" s="35"/>
      <c r="N70" s="35"/>
      <c r="O70" s="35"/>
      <c r="P70" s="35"/>
      <c r="Q70" s="35"/>
      <c r="R70" s="36" t="n">
        <f aca="false">IF(SUMPRODUCT(ABS(E70:Q70))=0,0,IF(OR(D70="IS",D70="BS"),0,1))</f>
        <v>0</v>
      </c>
    </row>
    <row r="71" customFormat="false" ht="15" hidden="false" customHeight="false" outlineLevel="0" collapsed="false">
      <c r="A71" s="34"/>
      <c r="B71" s="34"/>
      <c r="C71" s="34"/>
      <c r="D71" s="28" t="str">
        <f aca="false">IF(C71="","",IFERROR(INDEX(Mapping!$B$5:$B$40,MATCH(C71,Mapping!$A$5:$A$40,0)),"UNMAPPED"))</f>
        <v/>
      </c>
      <c r="E71" s="35"/>
      <c r="F71" s="35"/>
      <c r="G71" s="35"/>
      <c r="H71" s="35"/>
      <c r="I71" s="35"/>
      <c r="J71" s="35"/>
      <c r="K71" s="35"/>
      <c r="L71" s="35"/>
      <c r="M71" s="35"/>
      <c r="N71" s="35"/>
      <c r="O71" s="35"/>
      <c r="P71" s="35"/>
      <c r="Q71" s="35"/>
      <c r="R71" s="36" t="n">
        <f aca="false">IF(SUMPRODUCT(ABS(E71:Q71))=0,0,IF(OR(D71="IS",D71="BS"),0,1))</f>
        <v>0</v>
      </c>
    </row>
    <row r="72" customFormat="false" ht="15" hidden="false" customHeight="false" outlineLevel="0" collapsed="false">
      <c r="A72" s="34"/>
      <c r="B72" s="34"/>
      <c r="C72" s="34"/>
      <c r="D72" s="28" t="str">
        <f aca="false">IF(C72="","",IFERROR(INDEX(Mapping!$B$5:$B$40,MATCH(C72,Mapping!$A$5:$A$40,0)),"UNMAPPED"))</f>
        <v/>
      </c>
      <c r="E72" s="35"/>
      <c r="F72" s="35"/>
      <c r="G72" s="35"/>
      <c r="H72" s="35"/>
      <c r="I72" s="35"/>
      <c r="J72" s="35"/>
      <c r="K72" s="35"/>
      <c r="L72" s="35"/>
      <c r="M72" s="35"/>
      <c r="N72" s="35"/>
      <c r="O72" s="35"/>
      <c r="P72" s="35"/>
      <c r="Q72" s="35"/>
      <c r="R72" s="36" t="n">
        <f aca="false">IF(SUMPRODUCT(ABS(E72:Q72))=0,0,IF(OR(D72="IS",D72="BS"),0,1))</f>
        <v>0</v>
      </c>
    </row>
    <row r="73" customFormat="false" ht="15" hidden="false" customHeight="false" outlineLevel="0" collapsed="false">
      <c r="A73" s="34"/>
      <c r="B73" s="34"/>
      <c r="C73" s="34"/>
      <c r="D73" s="28" t="str">
        <f aca="false">IF(C73="","",IFERROR(INDEX(Mapping!$B$5:$B$40,MATCH(C73,Mapping!$A$5:$A$40,0)),"UNMAPPED"))</f>
        <v/>
      </c>
      <c r="E73" s="35"/>
      <c r="F73" s="35"/>
      <c r="G73" s="35"/>
      <c r="H73" s="35"/>
      <c r="I73" s="35"/>
      <c r="J73" s="35"/>
      <c r="K73" s="35"/>
      <c r="L73" s="35"/>
      <c r="M73" s="35"/>
      <c r="N73" s="35"/>
      <c r="O73" s="35"/>
      <c r="P73" s="35"/>
      <c r="Q73" s="35"/>
      <c r="R73" s="36" t="n">
        <f aca="false">IF(SUMPRODUCT(ABS(E73:Q73))=0,0,IF(OR(D73="IS",D73="BS"),0,1))</f>
        <v>0</v>
      </c>
    </row>
    <row r="74" customFormat="false" ht="15" hidden="false" customHeight="false" outlineLevel="0" collapsed="false">
      <c r="A74" s="34"/>
      <c r="B74" s="34"/>
      <c r="C74" s="34"/>
      <c r="D74" s="28" t="str">
        <f aca="false">IF(C74="","",IFERROR(INDEX(Mapping!$B$5:$B$40,MATCH(C74,Mapping!$A$5:$A$40,0)),"UNMAPPED"))</f>
        <v/>
      </c>
      <c r="E74" s="35"/>
      <c r="F74" s="35"/>
      <c r="G74" s="35"/>
      <c r="H74" s="35"/>
      <c r="I74" s="35"/>
      <c r="J74" s="35"/>
      <c r="K74" s="35"/>
      <c r="L74" s="35"/>
      <c r="M74" s="35"/>
      <c r="N74" s="35"/>
      <c r="O74" s="35"/>
      <c r="P74" s="35"/>
      <c r="Q74" s="35"/>
      <c r="R74" s="36" t="n">
        <f aca="false">IF(SUMPRODUCT(ABS(E74:Q74))=0,0,IF(OR(D74="IS",D74="BS"),0,1))</f>
        <v>0</v>
      </c>
    </row>
    <row r="75" customFormat="false" ht="15" hidden="false" customHeight="false" outlineLevel="0" collapsed="false">
      <c r="A75" s="34"/>
      <c r="B75" s="34"/>
      <c r="C75" s="34"/>
      <c r="D75" s="28" t="str">
        <f aca="false">IF(C75="","",IFERROR(INDEX(Mapping!$B$5:$B$40,MATCH(C75,Mapping!$A$5:$A$40,0)),"UNMAPPED"))</f>
        <v/>
      </c>
      <c r="E75" s="35"/>
      <c r="F75" s="35"/>
      <c r="G75" s="35"/>
      <c r="H75" s="35"/>
      <c r="I75" s="35"/>
      <c r="J75" s="35"/>
      <c r="K75" s="35"/>
      <c r="L75" s="35"/>
      <c r="M75" s="35"/>
      <c r="N75" s="35"/>
      <c r="O75" s="35"/>
      <c r="P75" s="35"/>
      <c r="Q75" s="35"/>
      <c r="R75" s="36" t="n">
        <f aca="false">IF(SUMPRODUCT(ABS(E75:Q75))=0,0,IF(OR(D75="IS",D75="BS"),0,1))</f>
        <v>0</v>
      </c>
    </row>
    <row r="76" customFormat="false" ht="15" hidden="false" customHeight="false" outlineLevel="0" collapsed="false">
      <c r="A76" s="34"/>
      <c r="B76" s="34"/>
      <c r="C76" s="34"/>
      <c r="D76" s="28" t="str">
        <f aca="false">IF(C76="","",IFERROR(INDEX(Mapping!$B$5:$B$40,MATCH(C76,Mapping!$A$5:$A$40,0)),"UNMAPPED"))</f>
        <v/>
      </c>
      <c r="E76" s="35"/>
      <c r="F76" s="35"/>
      <c r="G76" s="35"/>
      <c r="H76" s="35"/>
      <c r="I76" s="35"/>
      <c r="J76" s="35"/>
      <c r="K76" s="35"/>
      <c r="L76" s="35"/>
      <c r="M76" s="35"/>
      <c r="N76" s="35"/>
      <c r="O76" s="35"/>
      <c r="P76" s="35"/>
      <c r="Q76" s="35"/>
      <c r="R76" s="36" t="n">
        <f aca="false">IF(SUMPRODUCT(ABS(E76:Q76))=0,0,IF(OR(D76="IS",D76="BS"),0,1))</f>
        <v>0</v>
      </c>
    </row>
    <row r="77" customFormat="false" ht="15" hidden="false" customHeight="false" outlineLevel="0" collapsed="false">
      <c r="A77" s="34"/>
      <c r="B77" s="34"/>
      <c r="C77" s="34"/>
      <c r="D77" s="28" t="str">
        <f aca="false">IF(C77="","",IFERROR(INDEX(Mapping!$B$5:$B$40,MATCH(C77,Mapping!$A$5:$A$40,0)),"UNMAPPED"))</f>
        <v/>
      </c>
      <c r="E77" s="35"/>
      <c r="F77" s="35"/>
      <c r="G77" s="35"/>
      <c r="H77" s="35"/>
      <c r="I77" s="35"/>
      <c r="J77" s="35"/>
      <c r="K77" s="35"/>
      <c r="L77" s="35"/>
      <c r="M77" s="35"/>
      <c r="N77" s="35"/>
      <c r="O77" s="35"/>
      <c r="P77" s="35"/>
      <c r="Q77" s="35"/>
      <c r="R77" s="36" t="n">
        <f aca="false">IF(SUMPRODUCT(ABS(E77:Q77))=0,0,IF(OR(D77="IS",D77="BS"),0,1))</f>
        <v>0</v>
      </c>
    </row>
    <row r="78" customFormat="false" ht="15" hidden="false" customHeight="false" outlineLevel="0" collapsed="false">
      <c r="A78" s="34"/>
      <c r="B78" s="34"/>
      <c r="C78" s="34"/>
      <c r="D78" s="28" t="str">
        <f aca="false">IF(C78="","",IFERROR(INDEX(Mapping!$B$5:$B$40,MATCH(C78,Mapping!$A$5:$A$40,0)),"UNMAPPED"))</f>
        <v/>
      </c>
      <c r="E78" s="35"/>
      <c r="F78" s="35"/>
      <c r="G78" s="35"/>
      <c r="H78" s="35"/>
      <c r="I78" s="35"/>
      <c r="J78" s="35"/>
      <c r="K78" s="35"/>
      <c r="L78" s="35"/>
      <c r="M78" s="35"/>
      <c r="N78" s="35"/>
      <c r="O78" s="35"/>
      <c r="P78" s="35"/>
      <c r="Q78" s="35"/>
      <c r="R78" s="36" t="n">
        <f aca="false">IF(SUMPRODUCT(ABS(E78:Q78))=0,0,IF(OR(D78="IS",D78="BS"),0,1))</f>
        <v>0</v>
      </c>
    </row>
    <row r="79" customFormat="false" ht="15" hidden="false" customHeight="false" outlineLevel="0" collapsed="false">
      <c r="A79" s="34"/>
      <c r="B79" s="34"/>
      <c r="C79" s="34"/>
      <c r="D79" s="28" t="str">
        <f aca="false">IF(C79="","",IFERROR(INDEX(Mapping!$B$5:$B$40,MATCH(C79,Mapping!$A$5:$A$40,0)),"UNMAPPED"))</f>
        <v/>
      </c>
      <c r="E79" s="35"/>
      <c r="F79" s="35"/>
      <c r="G79" s="35"/>
      <c r="H79" s="35"/>
      <c r="I79" s="35"/>
      <c r="J79" s="35"/>
      <c r="K79" s="35"/>
      <c r="L79" s="35"/>
      <c r="M79" s="35"/>
      <c r="N79" s="35"/>
      <c r="O79" s="35"/>
      <c r="P79" s="35"/>
      <c r="Q79" s="35"/>
      <c r="R79" s="36" t="n">
        <f aca="false">IF(SUMPRODUCT(ABS(E79:Q79))=0,0,IF(OR(D79="IS",D79="BS"),0,1))</f>
        <v>0</v>
      </c>
    </row>
    <row r="80" customFormat="false" ht="15" hidden="false" customHeight="false" outlineLevel="0" collapsed="false">
      <c r="A80" s="34"/>
      <c r="B80" s="34"/>
      <c r="C80" s="34"/>
      <c r="D80" s="28" t="str">
        <f aca="false">IF(C80="","",IFERROR(INDEX(Mapping!$B$5:$B$40,MATCH(C80,Mapping!$A$5:$A$40,0)),"UNMAPPED"))</f>
        <v/>
      </c>
      <c r="E80" s="35"/>
      <c r="F80" s="35"/>
      <c r="G80" s="35"/>
      <c r="H80" s="35"/>
      <c r="I80" s="35"/>
      <c r="J80" s="35"/>
      <c r="K80" s="35"/>
      <c r="L80" s="35"/>
      <c r="M80" s="35"/>
      <c r="N80" s="35"/>
      <c r="O80" s="35"/>
      <c r="P80" s="35"/>
      <c r="Q80" s="35"/>
      <c r="R80" s="36" t="n">
        <f aca="false">IF(SUMPRODUCT(ABS(E80:Q80))=0,0,IF(OR(D80="IS",D80="BS"),0,1))</f>
        <v>0</v>
      </c>
    </row>
    <row r="81" customFormat="false" ht="15" hidden="false" customHeight="false" outlineLevel="0" collapsed="false">
      <c r="A81" s="34"/>
      <c r="B81" s="34"/>
      <c r="C81" s="34"/>
      <c r="D81" s="28" t="str">
        <f aca="false">IF(C81="","",IFERROR(INDEX(Mapping!$B$5:$B$40,MATCH(C81,Mapping!$A$5:$A$40,0)),"UNMAPPED"))</f>
        <v/>
      </c>
      <c r="E81" s="35"/>
      <c r="F81" s="35"/>
      <c r="G81" s="35"/>
      <c r="H81" s="35"/>
      <c r="I81" s="35"/>
      <c r="J81" s="35"/>
      <c r="K81" s="35"/>
      <c r="L81" s="35"/>
      <c r="M81" s="35"/>
      <c r="N81" s="35"/>
      <c r="O81" s="35"/>
      <c r="P81" s="35"/>
      <c r="Q81" s="35"/>
      <c r="R81" s="36" t="n">
        <f aca="false">IF(SUMPRODUCT(ABS(E81:Q81))=0,0,IF(OR(D81="IS",D81="BS"),0,1))</f>
        <v>0</v>
      </c>
    </row>
    <row r="82" customFormat="false" ht="15" hidden="false" customHeight="false" outlineLevel="0" collapsed="false">
      <c r="A82" s="34"/>
      <c r="B82" s="34"/>
      <c r="C82" s="34"/>
      <c r="D82" s="28" t="str">
        <f aca="false">IF(C82="","",IFERROR(INDEX(Mapping!$B$5:$B$40,MATCH(C82,Mapping!$A$5:$A$40,0)),"UNMAPPED"))</f>
        <v/>
      </c>
      <c r="E82" s="35"/>
      <c r="F82" s="35"/>
      <c r="G82" s="35"/>
      <c r="H82" s="35"/>
      <c r="I82" s="35"/>
      <c r="J82" s="35"/>
      <c r="K82" s="35"/>
      <c r="L82" s="35"/>
      <c r="M82" s="35"/>
      <c r="N82" s="35"/>
      <c r="O82" s="35"/>
      <c r="P82" s="35"/>
      <c r="Q82" s="35"/>
      <c r="R82" s="36" t="n">
        <f aca="false">IF(SUMPRODUCT(ABS(E82:Q82))=0,0,IF(OR(D82="IS",D82="BS"),0,1))</f>
        <v>0</v>
      </c>
    </row>
    <row r="83" customFormat="false" ht="15" hidden="false" customHeight="false" outlineLevel="0" collapsed="false">
      <c r="A83" s="34"/>
      <c r="B83" s="34"/>
      <c r="C83" s="34"/>
      <c r="D83" s="28" t="str">
        <f aca="false">IF(C83="","",IFERROR(INDEX(Mapping!$B$5:$B$40,MATCH(C83,Mapping!$A$5:$A$40,0)),"UNMAPPED"))</f>
        <v/>
      </c>
      <c r="E83" s="35"/>
      <c r="F83" s="35"/>
      <c r="G83" s="35"/>
      <c r="H83" s="35"/>
      <c r="I83" s="35"/>
      <c r="J83" s="35"/>
      <c r="K83" s="35"/>
      <c r="L83" s="35"/>
      <c r="M83" s="35"/>
      <c r="N83" s="35"/>
      <c r="O83" s="35"/>
      <c r="P83" s="35"/>
      <c r="Q83" s="35"/>
      <c r="R83" s="36" t="n">
        <f aca="false">IF(SUMPRODUCT(ABS(E83:Q83))=0,0,IF(OR(D83="IS",D83="BS"),0,1))</f>
        <v>0</v>
      </c>
    </row>
    <row r="84" customFormat="false" ht="15" hidden="false" customHeight="false" outlineLevel="0" collapsed="false">
      <c r="A84" s="34"/>
      <c r="B84" s="34"/>
      <c r="C84" s="34"/>
      <c r="D84" s="28" t="str">
        <f aca="false">IF(C84="","",IFERROR(INDEX(Mapping!$B$5:$B$40,MATCH(C84,Mapping!$A$5:$A$40,0)),"UNMAPPED"))</f>
        <v/>
      </c>
      <c r="E84" s="35"/>
      <c r="F84" s="35"/>
      <c r="G84" s="35"/>
      <c r="H84" s="35"/>
      <c r="I84" s="35"/>
      <c r="J84" s="35"/>
      <c r="K84" s="35"/>
      <c r="L84" s="35"/>
      <c r="M84" s="35"/>
      <c r="N84" s="35"/>
      <c r="O84" s="35"/>
      <c r="P84" s="35"/>
      <c r="Q84" s="35"/>
      <c r="R84" s="36" t="n">
        <f aca="false">IF(SUMPRODUCT(ABS(E84:Q84))=0,0,IF(OR(D84="IS",D84="BS"),0,1))</f>
        <v>0</v>
      </c>
    </row>
    <row r="85" customFormat="false" ht="15" hidden="false" customHeight="false" outlineLevel="0" collapsed="false">
      <c r="A85" s="34"/>
      <c r="B85" s="34"/>
      <c r="C85" s="34"/>
      <c r="D85" s="28" t="str">
        <f aca="false">IF(C85="","",IFERROR(INDEX(Mapping!$B$5:$B$40,MATCH(C85,Mapping!$A$5:$A$40,0)),"UNMAPPED"))</f>
        <v/>
      </c>
      <c r="E85" s="35"/>
      <c r="F85" s="35"/>
      <c r="G85" s="35"/>
      <c r="H85" s="35"/>
      <c r="I85" s="35"/>
      <c r="J85" s="35"/>
      <c r="K85" s="35"/>
      <c r="L85" s="35"/>
      <c r="M85" s="35"/>
      <c r="N85" s="35"/>
      <c r="O85" s="35"/>
      <c r="P85" s="35"/>
      <c r="Q85" s="35"/>
      <c r="R85" s="36" t="n">
        <f aca="false">IF(SUMPRODUCT(ABS(E85:Q85))=0,0,IF(OR(D85="IS",D85="BS"),0,1))</f>
        <v>0</v>
      </c>
    </row>
    <row r="86" customFormat="false" ht="15" hidden="false" customHeight="false" outlineLevel="0" collapsed="false">
      <c r="A86" s="34"/>
      <c r="B86" s="34"/>
      <c r="C86" s="34"/>
      <c r="D86" s="28" t="str">
        <f aca="false">IF(C86="","",IFERROR(INDEX(Mapping!$B$5:$B$40,MATCH(C86,Mapping!$A$5:$A$40,0)),"UNMAPPED"))</f>
        <v/>
      </c>
      <c r="E86" s="35"/>
      <c r="F86" s="35"/>
      <c r="G86" s="35"/>
      <c r="H86" s="35"/>
      <c r="I86" s="35"/>
      <c r="J86" s="35"/>
      <c r="K86" s="35"/>
      <c r="L86" s="35"/>
      <c r="M86" s="35"/>
      <c r="N86" s="35"/>
      <c r="O86" s="35"/>
      <c r="P86" s="35"/>
      <c r="Q86" s="35"/>
      <c r="R86" s="36" t="n">
        <f aca="false">IF(SUMPRODUCT(ABS(E86:Q86))=0,0,IF(OR(D86="IS",D86="BS"),0,1))</f>
        <v>0</v>
      </c>
    </row>
    <row r="87" customFormat="false" ht="15" hidden="false" customHeight="false" outlineLevel="0" collapsed="false">
      <c r="A87" s="34"/>
      <c r="B87" s="34"/>
      <c r="C87" s="34"/>
      <c r="D87" s="28" t="str">
        <f aca="false">IF(C87="","",IFERROR(INDEX(Mapping!$B$5:$B$40,MATCH(C87,Mapping!$A$5:$A$40,0)),"UNMAPPED"))</f>
        <v/>
      </c>
      <c r="E87" s="35"/>
      <c r="F87" s="35"/>
      <c r="G87" s="35"/>
      <c r="H87" s="35"/>
      <c r="I87" s="35"/>
      <c r="J87" s="35"/>
      <c r="K87" s="35"/>
      <c r="L87" s="35"/>
      <c r="M87" s="35"/>
      <c r="N87" s="35"/>
      <c r="O87" s="35"/>
      <c r="P87" s="35"/>
      <c r="Q87" s="35"/>
      <c r="R87" s="36" t="n">
        <f aca="false">IF(SUMPRODUCT(ABS(E87:Q87))=0,0,IF(OR(D87="IS",D87="BS"),0,1))</f>
        <v>0</v>
      </c>
    </row>
    <row r="88" customFormat="false" ht="15" hidden="false" customHeight="false" outlineLevel="0" collapsed="false">
      <c r="A88" s="34"/>
      <c r="B88" s="34"/>
      <c r="C88" s="34"/>
      <c r="D88" s="28" t="str">
        <f aca="false">IF(C88="","",IFERROR(INDEX(Mapping!$B$5:$B$40,MATCH(C88,Mapping!$A$5:$A$40,0)),"UNMAPPED"))</f>
        <v/>
      </c>
      <c r="E88" s="35"/>
      <c r="F88" s="35"/>
      <c r="G88" s="35"/>
      <c r="H88" s="35"/>
      <c r="I88" s="35"/>
      <c r="J88" s="35"/>
      <c r="K88" s="35"/>
      <c r="L88" s="35"/>
      <c r="M88" s="35"/>
      <c r="N88" s="35"/>
      <c r="O88" s="35"/>
      <c r="P88" s="35"/>
      <c r="Q88" s="35"/>
      <c r="R88" s="36" t="n">
        <f aca="false">IF(SUMPRODUCT(ABS(E88:Q88))=0,0,IF(OR(D88="IS",D88="BS"),0,1))</f>
        <v>0</v>
      </c>
    </row>
    <row r="89" customFormat="false" ht="15" hidden="false" customHeight="false" outlineLevel="0" collapsed="false">
      <c r="A89" s="34"/>
      <c r="B89" s="34"/>
      <c r="C89" s="34"/>
      <c r="D89" s="28" t="str">
        <f aca="false">IF(C89="","",IFERROR(INDEX(Mapping!$B$5:$B$40,MATCH(C89,Mapping!$A$5:$A$40,0)),"UNMAPPED"))</f>
        <v/>
      </c>
      <c r="E89" s="35"/>
      <c r="F89" s="35"/>
      <c r="G89" s="35"/>
      <c r="H89" s="35"/>
      <c r="I89" s="35"/>
      <c r="J89" s="35"/>
      <c r="K89" s="35"/>
      <c r="L89" s="35"/>
      <c r="M89" s="35"/>
      <c r="N89" s="35"/>
      <c r="O89" s="35"/>
      <c r="P89" s="35"/>
      <c r="Q89" s="35"/>
      <c r="R89" s="36" t="n">
        <f aca="false">IF(SUMPRODUCT(ABS(E89:Q89))=0,0,IF(OR(D89="IS",D89="BS"),0,1))</f>
        <v>0</v>
      </c>
    </row>
    <row r="90" customFormat="false" ht="15" hidden="false" customHeight="false" outlineLevel="0" collapsed="false">
      <c r="A90" s="34"/>
      <c r="B90" s="34"/>
      <c r="C90" s="34"/>
      <c r="D90" s="28" t="str">
        <f aca="false">IF(C90="","",IFERROR(INDEX(Mapping!$B$5:$B$40,MATCH(C90,Mapping!$A$5:$A$40,0)),"UNMAPPED"))</f>
        <v/>
      </c>
      <c r="E90" s="35"/>
      <c r="F90" s="35"/>
      <c r="G90" s="35"/>
      <c r="H90" s="35"/>
      <c r="I90" s="35"/>
      <c r="J90" s="35"/>
      <c r="K90" s="35"/>
      <c r="L90" s="35"/>
      <c r="M90" s="35"/>
      <c r="N90" s="35"/>
      <c r="O90" s="35"/>
      <c r="P90" s="35"/>
      <c r="Q90" s="35"/>
      <c r="R90" s="36" t="n">
        <f aca="false">IF(SUMPRODUCT(ABS(E90:Q90))=0,0,IF(OR(D90="IS",D90="BS"),0,1))</f>
        <v>0</v>
      </c>
    </row>
    <row r="91" customFormat="false" ht="15" hidden="false" customHeight="false" outlineLevel="0" collapsed="false">
      <c r="A91" s="34"/>
      <c r="B91" s="34"/>
      <c r="C91" s="34"/>
      <c r="D91" s="28" t="str">
        <f aca="false">IF(C91="","",IFERROR(INDEX(Mapping!$B$5:$B$40,MATCH(C91,Mapping!$A$5:$A$40,0)),"UNMAPPED"))</f>
        <v/>
      </c>
      <c r="E91" s="35"/>
      <c r="F91" s="35"/>
      <c r="G91" s="35"/>
      <c r="H91" s="35"/>
      <c r="I91" s="35"/>
      <c r="J91" s="35"/>
      <c r="K91" s="35"/>
      <c r="L91" s="35"/>
      <c r="M91" s="35"/>
      <c r="N91" s="35"/>
      <c r="O91" s="35"/>
      <c r="P91" s="35"/>
      <c r="Q91" s="35"/>
      <c r="R91" s="36" t="n">
        <f aca="false">IF(SUMPRODUCT(ABS(E91:Q91))=0,0,IF(OR(D91="IS",D91="BS"),0,1))</f>
        <v>0</v>
      </c>
    </row>
    <row r="92" customFormat="false" ht="15" hidden="false" customHeight="false" outlineLevel="0" collapsed="false">
      <c r="A92" s="34"/>
      <c r="B92" s="34"/>
      <c r="C92" s="34"/>
      <c r="D92" s="28" t="str">
        <f aca="false">IF(C92="","",IFERROR(INDEX(Mapping!$B$5:$B$40,MATCH(C92,Mapping!$A$5:$A$40,0)),"UNMAPPED"))</f>
        <v/>
      </c>
      <c r="E92" s="35"/>
      <c r="F92" s="35"/>
      <c r="G92" s="35"/>
      <c r="H92" s="35"/>
      <c r="I92" s="35"/>
      <c r="J92" s="35"/>
      <c r="K92" s="35"/>
      <c r="L92" s="35"/>
      <c r="M92" s="35"/>
      <c r="N92" s="35"/>
      <c r="O92" s="35"/>
      <c r="P92" s="35"/>
      <c r="Q92" s="35"/>
      <c r="R92" s="36" t="n">
        <f aca="false">IF(SUMPRODUCT(ABS(E92:Q92))=0,0,IF(OR(D92="IS",D92="BS"),0,1))</f>
        <v>0</v>
      </c>
    </row>
    <row r="93" customFormat="false" ht="15" hidden="false" customHeight="false" outlineLevel="0" collapsed="false">
      <c r="A93" s="34"/>
      <c r="B93" s="34"/>
      <c r="C93" s="34"/>
      <c r="D93" s="28" t="str">
        <f aca="false">IF(C93="","",IFERROR(INDEX(Mapping!$B$5:$B$40,MATCH(C93,Mapping!$A$5:$A$40,0)),"UNMAPPED"))</f>
        <v/>
      </c>
      <c r="E93" s="35"/>
      <c r="F93" s="35"/>
      <c r="G93" s="35"/>
      <c r="H93" s="35"/>
      <c r="I93" s="35"/>
      <c r="J93" s="35"/>
      <c r="K93" s="35"/>
      <c r="L93" s="35"/>
      <c r="M93" s="35"/>
      <c r="N93" s="35"/>
      <c r="O93" s="35"/>
      <c r="P93" s="35"/>
      <c r="Q93" s="35"/>
      <c r="R93" s="36" t="n">
        <f aca="false">IF(SUMPRODUCT(ABS(E93:Q93))=0,0,IF(OR(D93="IS",D93="BS"),0,1))</f>
        <v>0</v>
      </c>
    </row>
    <row r="94" customFormat="false" ht="15" hidden="false" customHeight="false" outlineLevel="0" collapsed="false">
      <c r="A94" s="34"/>
      <c r="B94" s="34"/>
      <c r="C94" s="34"/>
      <c r="D94" s="28" t="str">
        <f aca="false">IF(C94="","",IFERROR(INDEX(Mapping!$B$5:$B$40,MATCH(C94,Mapping!$A$5:$A$40,0)),"UNMAPPED"))</f>
        <v/>
      </c>
      <c r="E94" s="35"/>
      <c r="F94" s="35"/>
      <c r="G94" s="35"/>
      <c r="H94" s="35"/>
      <c r="I94" s="35"/>
      <c r="J94" s="35"/>
      <c r="K94" s="35"/>
      <c r="L94" s="35"/>
      <c r="M94" s="35"/>
      <c r="N94" s="35"/>
      <c r="O94" s="35"/>
      <c r="P94" s="35"/>
      <c r="Q94" s="35"/>
      <c r="R94" s="36" t="n">
        <f aca="false">IF(SUMPRODUCT(ABS(E94:Q94))=0,0,IF(OR(D94="IS",D94="BS"),0,1))</f>
        <v>0</v>
      </c>
    </row>
    <row r="95" customFormat="false" ht="15" hidden="false" customHeight="false" outlineLevel="0" collapsed="false">
      <c r="A95" s="34"/>
      <c r="B95" s="34"/>
      <c r="C95" s="34"/>
      <c r="D95" s="28" t="str">
        <f aca="false">IF(C95="","",IFERROR(INDEX(Mapping!$B$5:$B$40,MATCH(C95,Mapping!$A$5:$A$40,0)),"UNMAPPED"))</f>
        <v/>
      </c>
      <c r="E95" s="35"/>
      <c r="F95" s="35"/>
      <c r="G95" s="35"/>
      <c r="H95" s="35"/>
      <c r="I95" s="35"/>
      <c r="J95" s="35"/>
      <c r="K95" s="35"/>
      <c r="L95" s="35"/>
      <c r="M95" s="35"/>
      <c r="N95" s="35"/>
      <c r="O95" s="35"/>
      <c r="P95" s="35"/>
      <c r="Q95" s="35"/>
      <c r="R95" s="36" t="n">
        <f aca="false">IF(SUMPRODUCT(ABS(E95:Q95))=0,0,IF(OR(D95="IS",D95="BS"),0,1))</f>
        <v>0</v>
      </c>
    </row>
    <row r="96" customFormat="false" ht="15" hidden="false" customHeight="false" outlineLevel="0" collapsed="false">
      <c r="A96" s="34"/>
      <c r="B96" s="34"/>
      <c r="C96" s="34"/>
      <c r="D96" s="28" t="str">
        <f aca="false">IF(C96="","",IFERROR(INDEX(Mapping!$B$5:$B$40,MATCH(C96,Mapping!$A$5:$A$40,0)),"UNMAPPED"))</f>
        <v/>
      </c>
      <c r="E96" s="35"/>
      <c r="F96" s="35"/>
      <c r="G96" s="35"/>
      <c r="H96" s="35"/>
      <c r="I96" s="35"/>
      <c r="J96" s="35"/>
      <c r="K96" s="35"/>
      <c r="L96" s="35"/>
      <c r="M96" s="35"/>
      <c r="N96" s="35"/>
      <c r="O96" s="35"/>
      <c r="P96" s="35"/>
      <c r="Q96" s="35"/>
      <c r="R96" s="36" t="n">
        <f aca="false">IF(SUMPRODUCT(ABS(E96:Q96))=0,0,IF(OR(D96="IS",D96="BS"),0,1))</f>
        <v>0</v>
      </c>
    </row>
    <row r="97" customFormat="false" ht="15" hidden="false" customHeight="false" outlineLevel="0" collapsed="false">
      <c r="A97" s="34"/>
      <c r="B97" s="34"/>
      <c r="C97" s="34"/>
      <c r="D97" s="28" t="str">
        <f aca="false">IF(C97="","",IFERROR(INDEX(Mapping!$B$5:$B$40,MATCH(C97,Mapping!$A$5:$A$40,0)),"UNMAPPED"))</f>
        <v/>
      </c>
      <c r="E97" s="35"/>
      <c r="F97" s="35"/>
      <c r="G97" s="35"/>
      <c r="H97" s="35"/>
      <c r="I97" s="35"/>
      <c r="J97" s="35"/>
      <c r="K97" s="35"/>
      <c r="L97" s="35"/>
      <c r="M97" s="35"/>
      <c r="N97" s="35"/>
      <c r="O97" s="35"/>
      <c r="P97" s="35"/>
      <c r="Q97" s="35"/>
      <c r="R97" s="36" t="n">
        <f aca="false">IF(SUMPRODUCT(ABS(E97:Q97))=0,0,IF(OR(D97="IS",D97="BS"),0,1))</f>
        <v>0</v>
      </c>
    </row>
    <row r="98" customFormat="false" ht="15" hidden="false" customHeight="false" outlineLevel="0" collapsed="false">
      <c r="A98" s="34"/>
      <c r="B98" s="34"/>
      <c r="C98" s="34"/>
      <c r="D98" s="28" t="str">
        <f aca="false">IF(C98="","",IFERROR(INDEX(Mapping!$B$5:$B$40,MATCH(C98,Mapping!$A$5:$A$40,0)),"UNMAPPED"))</f>
        <v/>
      </c>
      <c r="E98" s="35"/>
      <c r="F98" s="35"/>
      <c r="G98" s="35"/>
      <c r="H98" s="35"/>
      <c r="I98" s="35"/>
      <c r="J98" s="35"/>
      <c r="K98" s="35"/>
      <c r="L98" s="35"/>
      <c r="M98" s="35"/>
      <c r="N98" s="35"/>
      <c r="O98" s="35"/>
      <c r="P98" s="35"/>
      <c r="Q98" s="35"/>
      <c r="R98" s="36" t="n">
        <f aca="false">IF(SUMPRODUCT(ABS(E98:Q98))=0,0,IF(OR(D98="IS",D98="BS"),0,1))</f>
        <v>0</v>
      </c>
    </row>
    <row r="99" customFormat="false" ht="15" hidden="false" customHeight="false" outlineLevel="0" collapsed="false">
      <c r="A99" s="34"/>
      <c r="B99" s="34"/>
      <c r="C99" s="34"/>
      <c r="D99" s="28" t="str">
        <f aca="false">IF(C99="","",IFERROR(INDEX(Mapping!$B$5:$B$40,MATCH(C99,Mapping!$A$5:$A$40,0)),"UNMAPPED"))</f>
        <v/>
      </c>
      <c r="E99" s="35"/>
      <c r="F99" s="35"/>
      <c r="G99" s="35"/>
      <c r="H99" s="35"/>
      <c r="I99" s="35"/>
      <c r="J99" s="35"/>
      <c r="K99" s="35"/>
      <c r="L99" s="35"/>
      <c r="M99" s="35"/>
      <c r="N99" s="35"/>
      <c r="O99" s="35"/>
      <c r="P99" s="35"/>
      <c r="Q99" s="35"/>
      <c r="R99" s="36" t="n">
        <f aca="false">IF(SUMPRODUCT(ABS(E99:Q99))=0,0,IF(OR(D99="IS",D99="BS"),0,1))</f>
        <v>0</v>
      </c>
    </row>
    <row r="100" customFormat="false" ht="15" hidden="false" customHeight="false" outlineLevel="0" collapsed="false">
      <c r="A100" s="34"/>
      <c r="B100" s="34"/>
      <c r="C100" s="34"/>
      <c r="D100" s="28" t="str">
        <f aca="false">IF(C100="","",IFERROR(INDEX(Mapping!$B$5:$B$40,MATCH(C100,Mapping!$A$5:$A$40,0)),"UNMAPPED"))</f>
        <v/>
      </c>
      <c r="E100" s="35"/>
      <c r="F100" s="35"/>
      <c r="G100" s="35"/>
      <c r="H100" s="35"/>
      <c r="I100" s="35"/>
      <c r="J100" s="35"/>
      <c r="K100" s="35"/>
      <c r="L100" s="35"/>
      <c r="M100" s="35"/>
      <c r="N100" s="35"/>
      <c r="O100" s="35"/>
      <c r="P100" s="35"/>
      <c r="Q100" s="35"/>
      <c r="R100" s="36" t="n">
        <f aca="false">IF(SUMPRODUCT(ABS(E100:Q100))=0,0,IF(OR(D100="IS",D100="BS"),0,1))</f>
        <v>0</v>
      </c>
    </row>
    <row r="101" customFormat="false" ht="15" hidden="false" customHeight="false" outlineLevel="0" collapsed="false">
      <c r="A101" s="34"/>
      <c r="B101" s="34"/>
      <c r="C101" s="34"/>
      <c r="D101" s="28" t="str">
        <f aca="false">IF(C101="","",IFERROR(INDEX(Mapping!$B$5:$B$40,MATCH(C101,Mapping!$A$5:$A$40,0)),"UNMAPPED"))</f>
        <v/>
      </c>
      <c r="E101" s="35"/>
      <c r="F101" s="35"/>
      <c r="G101" s="35"/>
      <c r="H101" s="35"/>
      <c r="I101" s="35"/>
      <c r="J101" s="35"/>
      <c r="K101" s="35"/>
      <c r="L101" s="35"/>
      <c r="M101" s="35"/>
      <c r="N101" s="35"/>
      <c r="O101" s="35"/>
      <c r="P101" s="35"/>
      <c r="Q101" s="35"/>
      <c r="R101" s="36" t="n">
        <f aca="false">IF(SUMPRODUCT(ABS(E101:Q101))=0,0,IF(OR(D101="IS",D101="BS"),0,1))</f>
        <v>0</v>
      </c>
    </row>
    <row r="102" customFormat="false" ht="15" hidden="false" customHeight="false" outlineLevel="0" collapsed="false">
      <c r="A102" s="34"/>
      <c r="B102" s="34"/>
      <c r="C102" s="34"/>
      <c r="D102" s="28" t="str">
        <f aca="false">IF(C102="","",IFERROR(INDEX(Mapping!$B$5:$B$40,MATCH(C102,Mapping!$A$5:$A$40,0)),"UNMAPPED"))</f>
        <v/>
      </c>
      <c r="E102" s="35"/>
      <c r="F102" s="35"/>
      <c r="G102" s="35"/>
      <c r="H102" s="35"/>
      <c r="I102" s="35"/>
      <c r="J102" s="35"/>
      <c r="K102" s="35"/>
      <c r="L102" s="35"/>
      <c r="M102" s="35"/>
      <c r="N102" s="35"/>
      <c r="O102" s="35"/>
      <c r="P102" s="35"/>
      <c r="Q102" s="35"/>
      <c r="R102" s="36" t="n">
        <f aca="false">IF(SUMPRODUCT(ABS(E102:Q102))=0,0,IF(OR(D102="IS",D102="BS"),0,1))</f>
        <v>0</v>
      </c>
    </row>
    <row r="103" customFormat="false" ht="15" hidden="false" customHeight="false" outlineLevel="0" collapsed="false">
      <c r="A103" s="34"/>
      <c r="B103" s="34"/>
      <c r="C103" s="34"/>
      <c r="D103" s="28" t="str">
        <f aca="false">IF(C103="","",IFERROR(INDEX(Mapping!$B$5:$B$40,MATCH(C103,Mapping!$A$5:$A$40,0)),"UNMAPPED"))</f>
        <v/>
      </c>
      <c r="E103" s="35"/>
      <c r="F103" s="35"/>
      <c r="G103" s="35"/>
      <c r="H103" s="35"/>
      <c r="I103" s="35"/>
      <c r="J103" s="35"/>
      <c r="K103" s="35"/>
      <c r="L103" s="35"/>
      <c r="M103" s="35"/>
      <c r="N103" s="35"/>
      <c r="O103" s="35"/>
      <c r="P103" s="35"/>
      <c r="Q103" s="35"/>
      <c r="R103" s="36" t="n">
        <f aca="false">IF(SUMPRODUCT(ABS(E103:Q103))=0,0,IF(OR(D103="IS",D103="BS"),0,1))</f>
        <v>0</v>
      </c>
    </row>
    <row r="104" customFormat="false" ht="15" hidden="false" customHeight="false" outlineLevel="0" collapsed="false">
      <c r="A104" s="34"/>
      <c r="B104" s="34"/>
      <c r="C104" s="34"/>
      <c r="D104" s="28" t="str">
        <f aca="false">IF(C104="","",IFERROR(INDEX(Mapping!$B$5:$B$40,MATCH(C104,Mapping!$A$5:$A$40,0)),"UNMAPPED"))</f>
        <v/>
      </c>
      <c r="E104" s="35"/>
      <c r="F104" s="35"/>
      <c r="G104" s="35"/>
      <c r="H104" s="35"/>
      <c r="I104" s="35"/>
      <c r="J104" s="35"/>
      <c r="K104" s="35"/>
      <c r="L104" s="35"/>
      <c r="M104" s="35"/>
      <c r="N104" s="35"/>
      <c r="O104" s="35"/>
      <c r="P104" s="35"/>
      <c r="Q104" s="35"/>
      <c r="R104" s="36" t="n">
        <f aca="false">IF(SUMPRODUCT(ABS(E104:Q104))=0,0,IF(OR(D104="IS",D104="BS"),0,1))</f>
        <v>0</v>
      </c>
    </row>
    <row r="105" customFormat="false" ht="15" hidden="false" customHeight="false" outlineLevel="0" collapsed="false">
      <c r="A105" s="34"/>
      <c r="B105" s="34"/>
      <c r="C105" s="34"/>
      <c r="D105" s="28" t="str">
        <f aca="false">IF(C105="","",IFERROR(INDEX(Mapping!$B$5:$B$40,MATCH(C105,Mapping!$A$5:$A$40,0)),"UNMAPPED"))</f>
        <v/>
      </c>
      <c r="E105" s="35"/>
      <c r="F105" s="35"/>
      <c r="G105" s="35"/>
      <c r="H105" s="35"/>
      <c r="I105" s="35"/>
      <c r="J105" s="35"/>
      <c r="K105" s="35"/>
      <c r="L105" s="35"/>
      <c r="M105" s="35"/>
      <c r="N105" s="35"/>
      <c r="O105" s="35"/>
      <c r="P105" s="35"/>
      <c r="Q105" s="35"/>
      <c r="R105" s="36" t="n">
        <f aca="false">IF(SUMPRODUCT(ABS(E105:Q105))=0,0,IF(OR(D105="IS",D105="BS"),0,1))</f>
        <v>0</v>
      </c>
    </row>
    <row r="106" customFormat="false" ht="15" hidden="false" customHeight="false" outlineLevel="0" collapsed="false">
      <c r="A106" s="34"/>
      <c r="B106" s="34"/>
      <c r="C106" s="34"/>
      <c r="D106" s="28" t="str">
        <f aca="false">IF(C106="","",IFERROR(INDEX(Mapping!$B$5:$B$40,MATCH(C106,Mapping!$A$5:$A$40,0)),"UNMAPPED"))</f>
        <v/>
      </c>
      <c r="E106" s="35"/>
      <c r="F106" s="35"/>
      <c r="G106" s="35"/>
      <c r="H106" s="35"/>
      <c r="I106" s="35"/>
      <c r="J106" s="35"/>
      <c r="K106" s="35"/>
      <c r="L106" s="35"/>
      <c r="M106" s="35"/>
      <c r="N106" s="35"/>
      <c r="O106" s="35"/>
      <c r="P106" s="35"/>
      <c r="Q106" s="35"/>
      <c r="R106" s="36" t="n">
        <f aca="false">IF(SUMPRODUCT(ABS(E106:Q106))=0,0,IF(OR(D106="IS",D106="BS"),0,1))</f>
        <v>0</v>
      </c>
    </row>
    <row r="107" customFormat="false" ht="15" hidden="false" customHeight="false" outlineLevel="0" collapsed="false">
      <c r="A107" s="34"/>
      <c r="B107" s="34"/>
      <c r="C107" s="34"/>
      <c r="D107" s="28" t="str">
        <f aca="false">IF(C107="","",IFERROR(INDEX(Mapping!$B$5:$B$40,MATCH(C107,Mapping!$A$5:$A$40,0)),"UNMAPPED"))</f>
        <v/>
      </c>
      <c r="E107" s="35"/>
      <c r="F107" s="35"/>
      <c r="G107" s="35"/>
      <c r="H107" s="35"/>
      <c r="I107" s="35"/>
      <c r="J107" s="35"/>
      <c r="K107" s="35"/>
      <c r="L107" s="35"/>
      <c r="M107" s="35"/>
      <c r="N107" s="35"/>
      <c r="O107" s="35"/>
      <c r="P107" s="35"/>
      <c r="Q107" s="35"/>
      <c r="R107" s="36" t="n">
        <f aca="false">IF(SUMPRODUCT(ABS(E107:Q107))=0,0,IF(OR(D107="IS",D107="BS"),0,1))</f>
        <v>0</v>
      </c>
    </row>
    <row r="108" customFormat="false" ht="15" hidden="false" customHeight="false" outlineLevel="0" collapsed="false">
      <c r="A108" s="34"/>
      <c r="B108" s="34"/>
      <c r="C108" s="34"/>
      <c r="D108" s="28" t="str">
        <f aca="false">IF(C108="","",IFERROR(INDEX(Mapping!$B$5:$B$40,MATCH(C108,Mapping!$A$5:$A$40,0)),"UNMAPPED"))</f>
        <v/>
      </c>
      <c r="E108" s="35"/>
      <c r="F108" s="35"/>
      <c r="G108" s="35"/>
      <c r="H108" s="35"/>
      <c r="I108" s="35"/>
      <c r="J108" s="35"/>
      <c r="K108" s="35"/>
      <c r="L108" s="35"/>
      <c r="M108" s="35"/>
      <c r="N108" s="35"/>
      <c r="O108" s="35"/>
      <c r="P108" s="35"/>
      <c r="Q108" s="35"/>
      <c r="R108" s="36" t="n">
        <f aca="false">IF(SUMPRODUCT(ABS(E108:Q108))=0,0,IF(OR(D108="IS",D108="BS"),0,1))</f>
        <v>0</v>
      </c>
    </row>
    <row r="109" customFormat="false" ht="15" hidden="false" customHeight="false" outlineLevel="0" collapsed="false">
      <c r="A109" s="34"/>
      <c r="B109" s="34"/>
      <c r="C109" s="34"/>
      <c r="D109" s="28" t="str">
        <f aca="false">IF(C109="","",IFERROR(INDEX(Mapping!$B$5:$B$40,MATCH(C109,Mapping!$A$5:$A$40,0)),"UNMAPPED"))</f>
        <v/>
      </c>
      <c r="E109" s="35"/>
      <c r="F109" s="35"/>
      <c r="G109" s="35"/>
      <c r="H109" s="35"/>
      <c r="I109" s="35"/>
      <c r="J109" s="35"/>
      <c r="K109" s="35"/>
      <c r="L109" s="35"/>
      <c r="M109" s="35"/>
      <c r="N109" s="35"/>
      <c r="O109" s="35"/>
      <c r="P109" s="35"/>
      <c r="Q109" s="35"/>
      <c r="R109" s="36" t="n">
        <f aca="false">IF(SUMPRODUCT(ABS(E109:Q109))=0,0,IF(OR(D109="IS",D109="BS"),0,1))</f>
        <v>0</v>
      </c>
    </row>
    <row r="110" customFormat="false" ht="15" hidden="false" customHeight="false" outlineLevel="0" collapsed="false">
      <c r="A110" s="34"/>
      <c r="B110" s="34"/>
      <c r="C110" s="34"/>
      <c r="D110" s="28" t="str">
        <f aca="false">IF(C110="","",IFERROR(INDEX(Mapping!$B$5:$B$40,MATCH(C110,Mapping!$A$5:$A$40,0)),"UNMAPPED"))</f>
        <v/>
      </c>
      <c r="E110" s="35"/>
      <c r="F110" s="35"/>
      <c r="G110" s="35"/>
      <c r="H110" s="35"/>
      <c r="I110" s="35"/>
      <c r="J110" s="35"/>
      <c r="K110" s="35"/>
      <c r="L110" s="35"/>
      <c r="M110" s="35"/>
      <c r="N110" s="35"/>
      <c r="O110" s="35"/>
      <c r="P110" s="35"/>
      <c r="Q110" s="35"/>
      <c r="R110" s="36" t="n">
        <f aca="false">IF(SUMPRODUCT(ABS(E110:Q110))=0,0,IF(OR(D110="IS",D110="BS"),0,1))</f>
        <v>0</v>
      </c>
    </row>
    <row r="111" customFormat="false" ht="15" hidden="false" customHeight="false" outlineLevel="0" collapsed="false">
      <c r="A111" s="34"/>
      <c r="B111" s="34"/>
      <c r="C111" s="34"/>
      <c r="D111" s="28" t="str">
        <f aca="false">IF(C111="","",IFERROR(INDEX(Mapping!$B$5:$B$40,MATCH(C111,Mapping!$A$5:$A$40,0)),"UNMAPPED"))</f>
        <v/>
      </c>
      <c r="E111" s="35"/>
      <c r="F111" s="35"/>
      <c r="G111" s="35"/>
      <c r="H111" s="35"/>
      <c r="I111" s="35"/>
      <c r="J111" s="35"/>
      <c r="K111" s="35"/>
      <c r="L111" s="35"/>
      <c r="M111" s="35"/>
      <c r="N111" s="35"/>
      <c r="O111" s="35"/>
      <c r="P111" s="35"/>
      <c r="Q111" s="35"/>
      <c r="R111" s="36" t="n">
        <f aca="false">IF(SUMPRODUCT(ABS(E111:Q111))=0,0,IF(OR(D111="IS",D111="BS"),0,1))</f>
        <v>0</v>
      </c>
    </row>
    <row r="112" customFormat="false" ht="15" hidden="false" customHeight="false" outlineLevel="0" collapsed="false">
      <c r="A112" s="34"/>
      <c r="B112" s="34"/>
      <c r="C112" s="34"/>
      <c r="D112" s="28" t="str">
        <f aca="false">IF(C112="","",IFERROR(INDEX(Mapping!$B$5:$B$40,MATCH(C112,Mapping!$A$5:$A$40,0)),"UNMAPPED"))</f>
        <v/>
      </c>
      <c r="E112" s="35"/>
      <c r="F112" s="35"/>
      <c r="G112" s="35"/>
      <c r="H112" s="35"/>
      <c r="I112" s="35"/>
      <c r="J112" s="35"/>
      <c r="K112" s="35"/>
      <c r="L112" s="35"/>
      <c r="M112" s="35"/>
      <c r="N112" s="35"/>
      <c r="O112" s="35"/>
      <c r="P112" s="35"/>
      <c r="Q112" s="35"/>
      <c r="R112" s="36" t="n">
        <f aca="false">IF(SUMPRODUCT(ABS(E112:Q112))=0,0,IF(OR(D112="IS",D112="BS"),0,1))</f>
        <v>0</v>
      </c>
    </row>
    <row r="113" customFormat="false" ht="15" hidden="false" customHeight="false" outlineLevel="0" collapsed="false">
      <c r="A113" s="34"/>
      <c r="B113" s="34"/>
      <c r="C113" s="34"/>
      <c r="D113" s="28" t="str">
        <f aca="false">IF(C113="","",IFERROR(INDEX(Mapping!$B$5:$B$40,MATCH(C113,Mapping!$A$5:$A$40,0)),"UNMAPPED"))</f>
        <v/>
      </c>
      <c r="E113" s="35"/>
      <c r="F113" s="35"/>
      <c r="G113" s="35"/>
      <c r="H113" s="35"/>
      <c r="I113" s="35"/>
      <c r="J113" s="35"/>
      <c r="K113" s="35"/>
      <c r="L113" s="35"/>
      <c r="M113" s="35"/>
      <c r="N113" s="35"/>
      <c r="O113" s="35"/>
      <c r="P113" s="35"/>
      <c r="Q113" s="35"/>
      <c r="R113" s="36" t="n">
        <f aca="false">IF(SUMPRODUCT(ABS(E113:Q113))=0,0,IF(OR(D113="IS",D113="BS"),0,1))</f>
        <v>0</v>
      </c>
    </row>
    <row r="114" customFormat="false" ht="15" hidden="false" customHeight="false" outlineLevel="0" collapsed="false">
      <c r="A114" s="34"/>
      <c r="B114" s="34"/>
      <c r="C114" s="34"/>
      <c r="D114" s="28" t="str">
        <f aca="false">IF(C114="","",IFERROR(INDEX(Mapping!$B$5:$B$40,MATCH(C114,Mapping!$A$5:$A$40,0)),"UNMAPPED"))</f>
        <v/>
      </c>
      <c r="E114" s="35"/>
      <c r="F114" s="35"/>
      <c r="G114" s="35"/>
      <c r="H114" s="35"/>
      <c r="I114" s="35"/>
      <c r="J114" s="35"/>
      <c r="K114" s="35"/>
      <c r="L114" s="35"/>
      <c r="M114" s="35"/>
      <c r="N114" s="35"/>
      <c r="O114" s="35"/>
      <c r="P114" s="35"/>
      <c r="Q114" s="35"/>
      <c r="R114" s="36" t="n">
        <f aca="false">IF(SUMPRODUCT(ABS(E114:Q114))=0,0,IF(OR(D114="IS",D114="BS"),0,1))</f>
        <v>0</v>
      </c>
    </row>
    <row r="115" customFormat="false" ht="15" hidden="false" customHeight="false" outlineLevel="0" collapsed="false">
      <c r="A115" s="34"/>
      <c r="B115" s="34"/>
      <c r="C115" s="34"/>
      <c r="D115" s="28" t="str">
        <f aca="false">IF(C115="","",IFERROR(INDEX(Mapping!$B$5:$B$40,MATCH(C115,Mapping!$A$5:$A$40,0)),"UNMAPPED"))</f>
        <v/>
      </c>
      <c r="E115" s="35"/>
      <c r="F115" s="35"/>
      <c r="G115" s="35"/>
      <c r="H115" s="35"/>
      <c r="I115" s="35"/>
      <c r="J115" s="35"/>
      <c r="K115" s="35"/>
      <c r="L115" s="35"/>
      <c r="M115" s="35"/>
      <c r="N115" s="35"/>
      <c r="O115" s="35"/>
      <c r="P115" s="35"/>
      <c r="Q115" s="35"/>
      <c r="R115" s="36" t="n">
        <f aca="false">IF(SUMPRODUCT(ABS(E115:Q115))=0,0,IF(OR(D115="IS",D115="BS"),0,1))</f>
        <v>0</v>
      </c>
    </row>
    <row r="116" customFormat="false" ht="15" hidden="false" customHeight="false" outlineLevel="0" collapsed="false">
      <c r="A116" s="34"/>
      <c r="B116" s="34"/>
      <c r="C116" s="34"/>
      <c r="D116" s="28" t="str">
        <f aca="false">IF(C116="","",IFERROR(INDEX(Mapping!$B$5:$B$40,MATCH(C116,Mapping!$A$5:$A$40,0)),"UNMAPPED"))</f>
        <v/>
      </c>
      <c r="E116" s="35"/>
      <c r="F116" s="35"/>
      <c r="G116" s="35"/>
      <c r="H116" s="35"/>
      <c r="I116" s="35"/>
      <c r="J116" s="35"/>
      <c r="K116" s="35"/>
      <c r="L116" s="35"/>
      <c r="M116" s="35"/>
      <c r="N116" s="35"/>
      <c r="O116" s="35"/>
      <c r="P116" s="35"/>
      <c r="Q116" s="35"/>
      <c r="R116" s="36" t="n">
        <f aca="false">IF(SUMPRODUCT(ABS(E116:Q116))=0,0,IF(OR(D116="IS",D116="BS"),0,1))</f>
        <v>0</v>
      </c>
    </row>
    <row r="117" customFormat="false" ht="15" hidden="false" customHeight="false" outlineLevel="0" collapsed="false">
      <c r="A117" s="34"/>
      <c r="B117" s="34"/>
      <c r="C117" s="34"/>
      <c r="D117" s="28" t="str">
        <f aca="false">IF(C117="","",IFERROR(INDEX(Mapping!$B$5:$B$40,MATCH(C117,Mapping!$A$5:$A$40,0)),"UNMAPPED"))</f>
        <v/>
      </c>
      <c r="E117" s="35"/>
      <c r="F117" s="35"/>
      <c r="G117" s="35"/>
      <c r="H117" s="35"/>
      <c r="I117" s="35"/>
      <c r="J117" s="35"/>
      <c r="K117" s="35"/>
      <c r="L117" s="35"/>
      <c r="M117" s="35"/>
      <c r="N117" s="35"/>
      <c r="O117" s="35"/>
      <c r="P117" s="35"/>
      <c r="Q117" s="35"/>
      <c r="R117" s="36" t="n">
        <f aca="false">IF(SUMPRODUCT(ABS(E117:Q117))=0,0,IF(OR(D117="IS",D117="BS"),0,1))</f>
        <v>0</v>
      </c>
    </row>
    <row r="118" customFormat="false" ht="15" hidden="false" customHeight="false" outlineLevel="0" collapsed="false">
      <c r="A118" s="34"/>
      <c r="B118" s="34"/>
      <c r="C118" s="34"/>
      <c r="D118" s="28" t="str">
        <f aca="false">IF(C118="","",IFERROR(INDEX(Mapping!$B$5:$B$40,MATCH(C118,Mapping!$A$5:$A$40,0)),"UNMAPPED"))</f>
        <v/>
      </c>
      <c r="E118" s="35"/>
      <c r="F118" s="35"/>
      <c r="G118" s="35"/>
      <c r="H118" s="35"/>
      <c r="I118" s="35"/>
      <c r="J118" s="35"/>
      <c r="K118" s="35"/>
      <c r="L118" s="35"/>
      <c r="M118" s="35"/>
      <c r="N118" s="35"/>
      <c r="O118" s="35"/>
      <c r="P118" s="35"/>
      <c r="Q118" s="35"/>
      <c r="R118" s="36" t="n">
        <f aca="false">IF(SUMPRODUCT(ABS(E118:Q118))=0,0,IF(OR(D118="IS",D118="BS"),0,1))</f>
        <v>0</v>
      </c>
    </row>
    <row r="119" customFormat="false" ht="15" hidden="false" customHeight="false" outlineLevel="0" collapsed="false">
      <c r="A119" s="34"/>
      <c r="B119" s="34"/>
      <c r="C119" s="34"/>
      <c r="D119" s="28" t="str">
        <f aca="false">IF(C119="","",IFERROR(INDEX(Mapping!$B$5:$B$40,MATCH(C119,Mapping!$A$5:$A$40,0)),"UNMAPPED"))</f>
        <v/>
      </c>
      <c r="E119" s="35"/>
      <c r="F119" s="35"/>
      <c r="G119" s="35"/>
      <c r="H119" s="35"/>
      <c r="I119" s="35"/>
      <c r="J119" s="35"/>
      <c r="K119" s="35"/>
      <c r="L119" s="35"/>
      <c r="M119" s="35"/>
      <c r="N119" s="35"/>
      <c r="O119" s="35"/>
      <c r="P119" s="35"/>
      <c r="Q119" s="35"/>
      <c r="R119" s="36" t="n">
        <f aca="false">IF(SUMPRODUCT(ABS(E119:Q119))=0,0,IF(OR(D119="IS",D119="BS"),0,1))</f>
        <v>0</v>
      </c>
    </row>
    <row r="120" customFormat="false" ht="15" hidden="false" customHeight="false" outlineLevel="0" collapsed="false">
      <c r="A120" s="34"/>
      <c r="B120" s="34"/>
      <c r="C120" s="34"/>
      <c r="D120" s="28" t="str">
        <f aca="false">IF(C120="","",IFERROR(INDEX(Mapping!$B$5:$B$40,MATCH(C120,Mapping!$A$5:$A$40,0)),"UNMAPPED"))</f>
        <v/>
      </c>
      <c r="E120" s="35"/>
      <c r="F120" s="35"/>
      <c r="G120" s="35"/>
      <c r="H120" s="35"/>
      <c r="I120" s="35"/>
      <c r="J120" s="35"/>
      <c r="K120" s="35"/>
      <c r="L120" s="35"/>
      <c r="M120" s="35"/>
      <c r="N120" s="35"/>
      <c r="O120" s="35"/>
      <c r="P120" s="35"/>
      <c r="Q120" s="35"/>
      <c r="R120" s="36" t="n">
        <f aca="false">IF(SUMPRODUCT(ABS(E120:Q120))=0,0,IF(OR(D120="IS",D120="BS"),0,1))</f>
        <v>0</v>
      </c>
    </row>
    <row r="121" customFormat="false" ht="15" hidden="false" customHeight="false" outlineLevel="0" collapsed="false">
      <c r="A121" s="34"/>
      <c r="B121" s="34"/>
      <c r="C121" s="34"/>
      <c r="D121" s="28" t="str">
        <f aca="false">IF(C121="","",IFERROR(INDEX(Mapping!$B$5:$B$40,MATCH(C121,Mapping!$A$5:$A$40,0)),"UNMAPPED"))</f>
        <v/>
      </c>
      <c r="E121" s="35"/>
      <c r="F121" s="35"/>
      <c r="G121" s="35"/>
      <c r="H121" s="35"/>
      <c r="I121" s="35"/>
      <c r="J121" s="35"/>
      <c r="K121" s="35"/>
      <c r="L121" s="35"/>
      <c r="M121" s="35"/>
      <c r="N121" s="35"/>
      <c r="O121" s="35"/>
      <c r="P121" s="35"/>
      <c r="Q121" s="35"/>
      <c r="R121" s="36" t="n">
        <f aca="false">IF(SUMPRODUCT(ABS(E121:Q121))=0,0,IF(OR(D121="IS",D121="BS"),0,1))</f>
        <v>0</v>
      </c>
    </row>
    <row r="122" customFormat="false" ht="15" hidden="false" customHeight="false" outlineLevel="0" collapsed="false">
      <c r="A122" s="34"/>
      <c r="B122" s="34"/>
      <c r="C122" s="34"/>
      <c r="D122" s="28" t="str">
        <f aca="false">IF(C122="","",IFERROR(INDEX(Mapping!$B$5:$B$40,MATCH(C122,Mapping!$A$5:$A$40,0)),"UNMAPPED"))</f>
        <v/>
      </c>
      <c r="E122" s="35"/>
      <c r="F122" s="35"/>
      <c r="G122" s="35"/>
      <c r="H122" s="35"/>
      <c r="I122" s="35"/>
      <c r="J122" s="35"/>
      <c r="K122" s="35"/>
      <c r="L122" s="35"/>
      <c r="M122" s="35"/>
      <c r="N122" s="35"/>
      <c r="O122" s="35"/>
      <c r="P122" s="35"/>
      <c r="Q122" s="35"/>
      <c r="R122" s="36" t="n">
        <f aca="false">IF(SUMPRODUCT(ABS(E122:Q122))=0,0,IF(OR(D122="IS",D122="BS"),0,1))</f>
        <v>0</v>
      </c>
    </row>
    <row r="123" customFormat="false" ht="15" hidden="false" customHeight="false" outlineLevel="0" collapsed="false">
      <c r="A123" s="34"/>
      <c r="B123" s="34"/>
      <c r="C123" s="34"/>
      <c r="D123" s="28" t="str">
        <f aca="false">IF(C123="","",IFERROR(INDEX(Mapping!$B$5:$B$40,MATCH(C123,Mapping!$A$5:$A$40,0)),"UNMAPPED"))</f>
        <v/>
      </c>
      <c r="E123" s="35"/>
      <c r="F123" s="35"/>
      <c r="G123" s="35"/>
      <c r="H123" s="35"/>
      <c r="I123" s="35"/>
      <c r="J123" s="35"/>
      <c r="K123" s="35"/>
      <c r="L123" s="35"/>
      <c r="M123" s="35"/>
      <c r="N123" s="35"/>
      <c r="O123" s="35"/>
      <c r="P123" s="35"/>
      <c r="Q123" s="35"/>
      <c r="R123" s="36" t="n">
        <f aca="false">IF(SUMPRODUCT(ABS(E123:Q123))=0,0,IF(OR(D123="IS",D123="BS"),0,1))</f>
        <v>0</v>
      </c>
    </row>
    <row r="124" customFormat="false" ht="15" hidden="false" customHeight="false" outlineLevel="0" collapsed="false">
      <c r="A124" s="34"/>
      <c r="B124" s="34"/>
      <c r="C124" s="34"/>
      <c r="D124" s="28" t="str">
        <f aca="false">IF(C124="","",IFERROR(INDEX(Mapping!$B$5:$B$40,MATCH(C124,Mapping!$A$5:$A$40,0)),"UNMAPPED"))</f>
        <v/>
      </c>
      <c r="E124" s="35"/>
      <c r="F124" s="35"/>
      <c r="G124" s="35"/>
      <c r="H124" s="35"/>
      <c r="I124" s="35"/>
      <c r="J124" s="35"/>
      <c r="K124" s="35"/>
      <c r="L124" s="35"/>
      <c r="M124" s="35"/>
      <c r="N124" s="35"/>
      <c r="O124" s="35"/>
      <c r="P124" s="35"/>
      <c r="Q124" s="35"/>
      <c r="R124" s="36" t="n">
        <f aca="false">IF(SUMPRODUCT(ABS(E124:Q124))=0,0,IF(OR(D124="IS",D124="BS"),0,1))</f>
        <v>0</v>
      </c>
    </row>
    <row r="125" customFormat="false" ht="15" hidden="false" customHeight="false" outlineLevel="0" collapsed="false">
      <c r="A125" s="34"/>
      <c r="B125" s="34"/>
      <c r="C125" s="34"/>
      <c r="D125" s="28" t="str">
        <f aca="false">IF(C125="","",IFERROR(INDEX(Mapping!$B$5:$B$40,MATCH(C125,Mapping!$A$5:$A$40,0)),"UNMAPPED"))</f>
        <v/>
      </c>
      <c r="E125" s="35"/>
      <c r="F125" s="35"/>
      <c r="G125" s="35"/>
      <c r="H125" s="35"/>
      <c r="I125" s="35"/>
      <c r="J125" s="35"/>
      <c r="K125" s="35"/>
      <c r="L125" s="35"/>
      <c r="M125" s="35"/>
      <c r="N125" s="35"/>
      <c r="O125" s="35"/>
      <c r="P125" s="35"/>
      <c r="Q125" s="35"/>
      <c r="R125" s="36" t="n">
        <f aca="false">IF(SUMPRODUCT(ABS(E125:Q125))=0,0,IF(OR(D125="IS",D125="BS"),0,1))</f>
        <v>0</v>
      </c>
    </row>
    <row r="126" customFormat="false" ht="15" hidden="false" customHeight="false" outlineLevel="0" collapsed="false">
      <c r="A126" s="34"/>
      <c r="B126" s="34"/>
      <c r="C126" s="34"/>
      <c r="D126" s="28" t="str">
        <f aca="false">IF(C126="","",IFERROR(INDEX(Mapping!$B$5:$B$40,MATCH(C126,Mapping!$A$5:$A$40,0)),"UNMAPPED"))</f>
        <v/>
      </c>
      <c r="E126" s="35"/>
      <c r="F126" s="35"/>
      <c r="G126" s="35"/>
      <c r="H126" s="35"/>
      <c r="I126" s="35"/>
      <c r="J126" s="35"/>
      <c r="K126" s="35"/>
      <c r="L126" s="35"/>
      <c r="M126" s="35"/>
      <c r="N126" s="35"/>
      <c r="O126" s="35"/>
      <c r="P126" s="35"/>
      <c r="Q126" s="35"/>
      <c r="R126" s="36" t="n">
        <f aca="false">IF(SUMPRODUCT(ABS(E126:Q126))=0,0,IF(OR(D126="IS",D126="BS"),0,1))</f>
        <v>0</v>
      </c>
    </row>
    <row r="127" customFormat="false" ht="15" hidden="false" customHeight="false" outlineLevel="0" collapsed="false">
      <c r="A127" s="34"/>
      <c r="B127" s="34"/>
      <c r="C127" s="34"/>
      <c r="D127" s="28" t="str">
        <f aca="false">IF(C127="","",IFERROR(INDEX(Mapping!$B$5:$B$40,MATCH(C127,Mapping!$A$5:$A$40,0)),"UNMAPPED"))</f>
        <v/>
      </c>
      <c r="E127" s="35"/>
      <c r="F127" s="35"/>
      <c r="G127" s="35"/>
      <c r="H127" s="35"/>
      <c r="I127" s="35"/>
      <c r="J127" s="35"/>
      <c r="K127" s="35"/>
      <c r="L127" s="35"/>
      <c r="M127" s="35"/>
      <c r="N127" s="35"/>
      <c r="O127" s="35"/>
      <c r="P127" s="35"/>
      <c r="Q127" s="35"/>
      <c r="R127" s="36" t="n">
        <f aca="false">IF(SUMPRODUCT(ABS(E127:Q127))=0,0,IF(OR(D127="IS",D127="BS"),0,1))</f>
        <v>0</v>
      </c>
    </row>
    <row r="128" customFormat="false" ht="15" hidden="false" customHeight="false" outlineLevel="0" collapsed="false">
      <c r="A128" s="34"/>
      <c r="B128" s="34"/>
      <c r="C128" s="34"/>
      <c r="D128" s="28" t="str">
        <f aca="false">IF(C128="","",IFERROR(INDEX(Mapping!$B$5:$B$40,MATCH(C128,Mapping!$A$5:$A$40,0)),"UNMAPPED"))</f>
        <v/>
      </c>
      <c r="E128" s="35"/>
      <c r="F128" s="35"/>
      <c r="G128" s="35"/>
      <c r="H128" s="35"/>
      <c r="I128" s="35"/>
      <c r="J128" s="35"/>
      <c r="K128" s="35"/>
      <c r="L128" s="35"/>
      <c r="M128" s="35"/>
      <c r="N128" s="35"/>
      <c r="O128" s="35"/>
      <c r="P128" s="35"/>
      <c r="Q128" s="35"/>
      <c r="R128" s="36" t="n">
        <f aca="false">IF(SUMPRODUCT(ABS(E128:Q128))=0,0,IF(OR(D128="IS",D128="BS"),0,1))</f>
        <v>0</v>
      </c>
    </row>
    <row r="129" customFormat="false" ht="15" hidden="false" customHeight="false" outlineLevel="0" collapsed="false">
      <c r="A129" s="34"/>
      <c r="B129" s="34"/>
      <c r="C129" s="34"/>
      <c r="D129" s="28" t="str">
        <f aca="false">IF(C129="","",IFERROR(INDEX(Mapping!$B$5:$B$40,MATCH(C129,Mapping!$A$5:$A$40,0)),"UNMAPPED"))</f>
        <v/>
      </c>
      <c r="E129" s="35"/>
      <c r="F129" s="35"/>
      <c r="G129" s="35"/>
      <c r="H129" s="35"/>
      <c r="I129" s="35"/>
      <c r="J129" s="35"/>
      <c r="K129" s="35"/>
      <c r="L129" s="35"/>
      <c r="M129" s="35"/>
      <c r="N129" s="35"/>
      <c r="O129" s="35"/>
      <c r="P129" s="35"/>
      <c r="Q129" s="35"/>
      <c r="R129" s="36" t="n">
        <f aca="false">IF(SUMPRODUCT(ABS(E129:Q129))=0,0,IF(OR(D129="IS",D129="BS"),0,1))</f>
        <v>0</v>
      </c>
    </row>
    <row r="130" customFormat="false" ht="15" hidden="false" customHeight="false" outlineLevel="0" collapsed="false">
      <c r="A130" s="34"/>
      <c r="B130" s="34"/>
      <c r="C130" s="34"/>
      <c r="D130" s="28" t="str">
        <f aca="false">IF(C130="","",IFERROR(INDEX(Mapping!$B$5:$B$40,MATCH(C130,Mapping!$A$5:$A$40,0)),"UNMAPPED"))</f>
        <v/>
      </c>
      <c r="E130" s="35"/>
      <c r="F130" s="35"/>
      <c r="G130" s="35"/>
      <c r="H130" s="35"/>
      <c r="I130" s="35"/>
      <c r="J130" s="35"/>
      <c r="K130" s="35"/>
      <c r="L130" s="35"/>
      <c r="M130" s="35"/>
      <c r="N130" s="35"/>
      <c r="O130" s="35"/>
      <c r="P130" s="35"/>
      <c r="Q130" s="35"/>
      <c r="R130" s="36" t="n">
        <f aca="false">IF(SUMPRODUCT(ABS(E130:Q130))=0,0,IF(OR(D130="IS",D130="BS"),0,1))</f>
        <v>0</v>
      </c>
    </row>
    <row r="131" customFormat="false" ht="15" hidden="false" customHeight="false" outlineLevel="0" collapsed="false">
      <c r="A131" s="34"/>
      <c r="B131" s="34"/>
      <c r="C131" s="34"/>
      <c r="D131" s="28" t="str">
        <f aca="false">IF(C131="","",IFERROR(INDEX(Mapping!$B$5:$B$40,MATCH(C131,Mapping!$A$5:$A$40,0)),"UNMAPPED"))</f>
        <v/>
      </c>
      <c r="E131" s="35"/>
      <c r="F131" s="35"/>
      <c r="G131" s="35"/>
      <c r="H131" s="35"/>
      <c r="I131" s="35"/>
      <c r="J131" s="35"/>
      <c r="K131" s="35"/>
      <c r="L131" s="35"/>
      <c r="M131" s="35"/>
      <c r="N131" s="35"/>
      <c r="O131" s="35"/>
      <c r="P131" s="35"/>
      <c r="Q131" s="35"/>
      <c r="R131" s="36" t="n">
        <f aca="false">IF(SUMPRODUCT(ABS(E131:Q131))=0,0,IF(OR(D131="IS",D131="BS"),0,1))</f>
        <v>0</v>
      </c>
    </row>
    <row r="132" customFormat="false" ht="15" hidden="false" customHeight="false" outlineLevel="0" collapsed="false">
      <c r="A132" s="34"/>
      <c r="B132" s="34"/>
      <c r="C132" s="34"/>
      <c r="D132" s="28" t="str">
        <f aca="false">IF(C132="","",IFERROR(INDEX(Mapping!$B$5:$B$40,MATCH(C132,Mapping!$A$5:$A$40,0)),"UNMAPPED"))</f>
        <v/>
      </c>
      <c r="E132" s="35"/>
      <c r="F132" s="35"/>
      <c r="G132" s="35"/>
      <c r="H132" s="35"/>
      <c r="I132" s="35"/>
      <c r="J132" s="35"/>
      <c r="K132" s="35"/>
      <c r="L132" s="35"/>
      <c r="M132" s="35"/>
      <c r="N132" s="35"/>
      <c r="O132" s="35"/>
      <c r="P132" s="35"/>
      <c r="Q132" s="35"/>
      <c r="R132" s="36" t="n">
        <f aca="false">IF(SUMPRODUCT(ABS(E132:Q132))=0,0,IF(OR(D132="IS",D132="BS"),0,1))</f>
        <v>0</v>
      </c>
    </row>
    <row r="133" customFormat="false" ht="15" hidden="false" customHeight="false" outlineLevel="0" collapsed="false">
      <c r="A133" s="34"/>
      <c r="B133" s="34"/>
      <c r="C133" s="34"/>
      <c r="D133" s="28" t="str">
        <f aca="false">IF(C133="","",IFERROR(INDEX(Mapping!$B$5:$B$40,MATCH(C133,Mapping!$A$5:$A$40,0)),"UNMAPPED"))</f>
        <v/>
      </c>
      <c r="E133" s="35"/>
      <c r="F133" s="35"/>
      <c r="G133" s="35"/>
      <c r="H133" s="35"/>
      <c r="I133" s="35"/>
      <c r="J133" s="35"/>
      <c r="K133" s="35"/>
      <c r="L133" s="35"/>
      <c r="M133" s="35"/>
      <c r="N133" s="35"/>
      <c r="O133" s="35"/>
      <c r="P133" s="35"/>
      <c r="Q133" s="35"/>
      <c r="R133" s="36" t="n">
        <f aca="false">IF(SUMPRODUCT(ABS(E133:Q133))=0,0,IF(OR(D133="IS",D133="BS"),0,1))</f>
        <v>0</v>
      </c>
    </row>
    <row r="134" customFormat="false" ht="15" hidden="false" customHeight="false" outlineLevel="0" collapsed="false">
      <c r="A134" s="34"/>
      <c r="B134" s="34"/>
      <c r="C134" s="34"/>
      <c r="D134" s="28" t="str">
        <f aca="false">IF(C134="","",IFERROR(INDEX(Mapping!$B$5:$B$40,MATCH(C134,Mapping!$A$5:$A$40,0)),"UNMAPPED"))</f>
        <v/>
      </c>
      <c r="E134" s="35"/>
      <c r="F134" s="35"/>
      <c r="G134" s="35"/>
      <c r="H134" s="35"/>
      <c r="I134" s="35"/>
      <c r="J134" s="35"/>
      <c r="K134" s="35"/>
      <c r="L134" s="35"/>
      <c r="M134" s="35"/>
      <c r="N134" s="35"/>
      <c r="O134" s="35"/>
      <c r="P134" s="35"/>
      <c r="Q134" s="35"/>
      <c r="R134" s="36" t="n">
        <f aca="false">IF(SUMPRODUCT(ABS(E134:Q134))=0,0,IF(OR(D134="IS",D134="BS"),0,1))</f>
        <v>0</v>
      </c>
    </row>
    <row r="135" customFormat="false" ht="15" hidden="false" customHeight="false" outlineLevel="0" collapsed="false">
      <c r="A135" s="34"/>
      <c r="B135" s="34"/>
      <c r="C135" s="34"/>
      <c r="D135" s="28" t="str">
        <f aca="false">IF(C135="","",IFERROR(INDEX(Mapping!$B$5:$B$40,MATCH(C135,Mapping!$A$5:$A$40,0)),"UNMAPPED"))</f>
        <v/>
      </c>
      <c r="E135" s="35"/>
      <c r="F135" s="35"/>
      <c r="G135" s="35"/>
      <c r="H135" s="35"/>
      <c r="I135" s="35"/>
      <c r="J135" s="35"/>
      <c r="K135" s="35"/>
      <c r="L135" s="35"/>
      <c r="M135" s="35"/>
      <c r="N135" s="35"/>
      <c r="O135" s="35"/>
      <c r="P135" s="35"/>
      <c r="Q135" s="35"/>
      <c r="R135" s="36" t="n">
        <f aca="false">IF(SUMPRODUCT(ABS(E135:Q135))=0,0,IF(OR(D135="IS",D135="BS"),0,1))</f>
        <v>0</v>
      </c>
    </row>
    <row r="136" customFormat="false" ht="15" hidden="false" customHeight="false" outlineLevel="0" collapsed="false">
      <c r="A136" s="34"/>
      <c r="B136" s="34"/>
      <c r="C136" s="34"/>
      <c r="D136" s="28" t="str">
        <f aca="false">IF(C136="","",IFERROR(INDEX(Mapping!$B$5:$B$40,MATCH(C136,Mapping!$A$5:$A$40,0)),"UNMAPPED"))</f>
        <v/>
      </c>
      <c r="E136" s="35"/>
      <c r="F136" s="35"/>
      <c r="G136" s="35"/>
      <c r="H136" s="35"/>
      <c r="I136" s="35"/>
      <c r="J136" s="35"/>
      <c r="K136" s="35"/>
      <c r="L136" s="35"/>
      <c r="M136" s="35"/>
      <c r="N136" s="35"/>
      <c r="O136" s="35"/>
      <c r="P136" s="35"/>
      <c r="Q136" s="35"/>
      <c r="R136" s="36" t="n">
        <f aca="false">IF(SUMPRODUCT(ABS(E136:Q136))=0,0,IF(OR(D136="IS",D136="BS"),0,1))</f>
        <v>0</v>
      </c>
    </row>
    <row r="137" customFormat="false" ht="15" hidden="false" customHeight="false" outlineLevel="0" collapsed="false">
      <c r="A137" s="34"/>
      <c r="B137" s="34"/>
      <c r="C137" s="34"/>
      <c r="D137" s="28" t="str">
        <f aca="false">IF(C137="","",IFERROR(INDEX(Mapping!$B$5:$B$40,MATCH(C137,Mapping!$A$5:$A$40,0)),"UNMAPPED"))</f>
        <v/>
      </c>
      <c r="E137" s="35"/>
      <c r="F137" s="35"/>
      <c r="G137" s="35"/>
      <c r="H137" s="35"/>
      <c r="I137" s="35"/>
      <c r="J137" s="35"/>
      <c r="K137" s="35"/>
      <c r="L137" s="35"/>
      <c r="M137" s="35"/>
      <c r="N137" s="35"/>
      <c r="O137" s="35"/>
      <c r="P137" s="35"/>
      <c r="Q137" s="35"/>
      <c r="R137" s="36" t="n">
        <f aca="false">IF(SUMPRODUCT(ABS(E137:Q137))=0,0,IF(OR(D137="IS",D137="BS"),0,1))</f>
        <v>0</v>
      </c>
    </row>
    <row r="138" customFormat="false" ht="15" hidden="false" customHeight="false" outlineLevel="0" collapsed="false">
      <c r="A138" s="34"/>
      <c r="B138" s="34"/>
      <c r="C138" s="34"/>
      <c r="D138" s="28" t="str">
        <f aca="false">IF(C138="","",IFERROR(INDEX(Mapping!$B$5:$B$40,MATCH(C138,Mapping!$A$5:$A$40,0)),"UNMAPPED"))</f>
        <v/>
      </c>
      <c r="E138" s="35"/>
      <c r="F138" s="35"/>
      <c r="G138" s="35"/>
      <c r="H138" s="35"/>
      <c r="I138" s="35"/>
      <c r="J138" s="35"/>
      <c r="K138" s="35"/>
      <c r="L138" s="35"/>
      <c r="M138" s="35"/>
      <c r="N138" s="35"/>
      <c r="O138" s="35"/>
      <c r="P138" s="35"/>
      <c r="Q138" s="35"/>
      <c r="R138" s="36" t="n">
        <f aca="false">IF(SUMPRODUCT(ABS(E138:Q138))=0,0,IF(OR(D138="IS",D138="BS"),0,1))</f>
        <v>0</v>
      </c>
    </row>
    <row r="139" customFormat="false" ht="15" hidden="false" customHeight="false" outlineLevel="0" collapsed="false">
      <c r="A139" s="34"/>
      <c r="B139" s="34"/>
      <c r="C139" s="34"/>
      <c r="D139" s="28" t="str">
        <f aca="false">IF(C139="","",IFERROR(INDEX(Mapping!$B$5:$B$40,MATCH(C139,Mapping!$A$5:$A$40,0)),"UNMAPPED"))</f>
        <v/>
      </c>
      <c r="E139" s="35"/>
      <c r="F139" s="35"/>
      <c r="G139" s="35"/>
      <c r="H139" s="35"/>
      <c r="I139" s="35"/>
      <c r="J139" s="35"/>
      <c r="K139" s="35"/>
      <c r="L139" s="35"/>
      <c r="M139" s="35"/>
      <c r="N139" s="35"/>
      <c r="O139" s="35"/>
      <c r="P139" s="35"/>
      <c r="Q139" s="35"/>
      <c r="R139" s="36" t="n">
        <f aca="false">IF(SUMPRODUCT(ABS(E139:Q139))=0,0,IF(OR(D139="IS",D139="BS"),0,1))</f>
        <v>0</v>
      </c>
    </row>
    <row r="140" customFormat="false" ht="15" hidden="false" customHeight="false" outlineLevel="0" collapsed="false">
      <c r="A140" s="34"/>
      <c r="B140" s="34"/>
      <c r="C140" s="34"/>
      <c r="D140" s="28" t="str">
        <f aca="false">IF(C140="","",IFERROR(INDEX(Mapping!$B$5:$B$40,MATCH(C140,Mapping!$A$5:$A$40,0)),"UNMAPPED"))</f>
        <v/>
      </c>
      <c r="E140" s="35"/>
      <c r="F140" s="35"/>
      <c r="G140" s="35"/>
      <c r="H140" s="35"/>
      <c r="I140" s="35"/>
      <c r="J140" s="35"/>
      <c r="K140" s="35"/>
      <c r="L140" s="35"/>
      <c r="M140" s="35"/>
      <c r="N140" s="35"/>
      <c r="O140" s="35"/>
      <c r="P140" s="35"/>
      <c r="Q140" s="35"/>
      <c r="R140" s="36" t="n">
        <f aca="false">IF(SUMPRODUCT(ABS(E140:Q140))=0,0,IF(OR(D140="IS",D140="BS"),0,1))</f>
        <v>0</v>
      </c>
    </row>
    <row r="141" customFormat="false" ht="15" hidden="false" customHeight="false" outlineLevel="0" collapsed="false">
      <c r="A141" s="34"/>
      <c r="B141" s="34"/>
      <c r="C141" s="34"/>
      <c r="D141" s="28" t="str">
        <f aca="false">IF(C141="","",IFERROR(INDEX(Mapping!$B$5:$B$40,MATCH(C141,Mapping!$A$5:$A$40,0)),"UNMAPPED"))</f>
        <v/>
      </c>
      <c r="E141" s="35"/>
      <c r="F141" s="35"/>
      <c r="G141" s="35"/>
      <c r="H141" s="35"/>
      <c r="I141" s="35"/>
      <c r="J141" s="35"/>
      <c r="K141" s="35"/>
      <c r="L141" s="35"/>
      <c r="M141" s="35"/>
      <c r="N141" s="35"/>
      <c r="O141" s="35"/>
      <c r="P141" s="35"/>
      <c r="Q141" s="35"/>
      <c r="R141" s="36" t="n">
        <f aca="false">IF(SUMPRODUCT(ABS(E141:Q141))=0,0,IF(OR(D141="IS",D141="BS"),0,1))</f>
        <v>0</v>
      </c>
    </row>
    <row r="142" customFormat="false" ht="15" hidden="false" customHeight="false" outlineLevel="0" collapsed="false">
      <c r="A142" s="34"/>
      <c r="B142" s="34"/>
      <c r="C142" s="34"/>
      <c r="D142" s="28" t="str">
        <f aca="false">IF(C142="","",IFERROR(INDEX(Mapping!$B$5:$B$40,MATCH(C142,Mapping!$A$5:$A$40,0)),"UNMAPPED"))</f>
        <v/>
      </c>
      <c r="E142" s="35"/>
      <c r="F142" s="35"/>
      <c r="G142" s="35"/>
      <c r="H142" s="35"/>
      <c r="I142" s="35"/>
      <c r="J142" s="35"/>
      <c r="K142" s="35"/>
      <c r="L142" s="35"/>
      <c r="M142" s="35"/>
      <c r="N142" s="35"/>
      <c r="O142" s="35"/>
      <c r="P142" s="35"/>
      <c r="Q142" s="35"/>
      <c r="R142" s="36" t="n">
        <f aca="false">IF(SUMPRODUCT(ABS(E142:Q142))=0,0,IF(OR(D142="IS",D142="BS"),0,1))</f>
        <v>0</v>
      </c>
    </row>
    <row r="143" customFormat="false" ht="15" hidden="false" customHeight="false" outlineLevel="0" collapsed="false">
      <c r="A143" s="34"/>
      <c r="B143" s="34"/>
      <c r="C143" s="34"/>
      <c r="D143" s="28" t="str">
        <f aca="false">IF(C143="","",IFERROR(INDEX(Mapping!$B$5:$B$40,MATCH(C143,Mapping!$A$5:$A$40,0)),"UNMAPPED"))</f>
        <v/>
      </c>
      <c r="E143" s="35"/>
      <c r="F143" s="35"/>
      <c r="G143" s="35"/>
      <c r="H143" s="35"/>
      <c r="I143" s="35"/>
      <c r="J143" s="35"/>
      <c r="K143" s="35"/>
      <c r="L143" s="35"/>
      <c r="M143" s="35"/>
      <c r="N143" s="35"/>
      <c r="O143" s="35"/>
      <c r="P143" s="35"/>
      <c r="Q143" s="35"/>
      <c r="R143" s="36" t="n">
        <f aca="false">IF(SUMPRODUCT(ABS(E143:Q143))=0,0,IF(OR(D143="IS",D143="BS"),0,1))</f>
        <v>0</v>
      </c>
    </row>
    <row r="144" customFormat="false" ht="15" hidden="false" customHeight="false" outlineLevel="0" collapsed="false">
      <c r="A144" s="34"/>
      <c r="B144" s="34"/>
      <c r="C144" s="34"/>
      <c r="D144" s="28" t="str">
        <f aca="false">IF(C144="","",IFERROR(INDEX(Mapping!$B$5:$B$40,MATCH(C144,Mapping!$A$5:$A$40,0)),"UNMAPPED"))</f>
        <v/>
      </c>
      <c r="E144" s="35"/>
      <c r="F144" s="35"/>
      <c r="G144" s="35"/>
      <c r="H144" s="35"/>
      <c r="I144" s="35"/>
      <c r="J144" s="35"/>
      <c r="K144" s="35"/>
      <c r="L144" s="35"/>
      <c r="M144" s="35"/>
      <c r="N144" s="35"/>
      <c r="O144" s="35"/>
      <c r="P144" s="35"/>
      <c r="Q144" s="35"/>
      <c r="R144" s="36" t="n">
        <f aca="false">IF(SUMPRODUCT(ABS(E144:Q144))=0,0,IF(OR(D144="IS",D144="BS"),0,1))</f>
        <v>0</v>
      </c>
    </row>
    <row r="145" customFormat="false" ht="15" hidden="false" customHeight="false" outlineLevel="0" collapsed="false">
      <c r="A145" s="34"/>
      <c r="B145" s="34"/>
      <c r="C145" s="34"/>
      <c r="D145" s="28" t="str">
        <f aca="false">IF(C145="","",IFERROR(INDEX(Mapping!$B$5:$B$40,MATCH(C145,Mapping!$A$5:$A$40,0)),"UNMAPPED"))</f>
        <v/>
      </c>
      <c r="E145" s="35"/>
      <c r="F145" s="35"/>
      <c r="G145" s="35"/>
      <c r="H145" s="35"/>
      <c r="I145" s="35"/>
      <c r="J145" s="35"/>
      <c r="K145" s="35"/>
      <c r="L145" s="35"/>
      <c r="M145" s="35"/>
      <c r="N145" s="35"/>
      <c r="O145" s="35"/>
      <c r="P145" s="35"/>
      <c r="Q145" s="35"/>
      <c r="R145" s="36" t="n">
        <f aca="false">IF(SUMPRODUCT(ABS(E145:Q145))=0,0,IF(OR(D145="IS",D145="BS"),0,1))</f>
        <v>0</v>
      </c>
    </row>
    <row r="146" customFormat="false" ht="15" hidden="false" customHeight="false" outlineLevel="0" collapsed="false">
      <c r="A146" s="34"/>
      <c r="B146" s="34"/>
      <c r="C146" s="34"/>
      <c r="D146" s="28" t="str">
        <f aca="false">IF(C146="","",IFERROR(INDEX(Mapping!$B$5:$B$40,MATCH(C146,Mapping!$A$5:$A$40,0)),"UNMAPPED"))</f>
        <v/>
      </c>
      <c r="E146" s="35"/>
      <c r="F146" s="35"/>
      <c r="G146" s="35"/>
      <c r="H146" s="35"/>
      <c r="I146" s="35"/>
      <c r="J146" s="35"/>
      <c r="K146" s="35"/>
      <c r="L146" s="35"/>
      <c r="M146" s="35"/>
      <c r="N146" s="35"/>
      <c r="O146" s="35"/>
      <c r="P146" s="35"/>
      <c r="Q146" s="35"/>
      <c r="R146" s="36" t="n">
        <f aca="false">IF(SUMPRODUCT(ABS(E146:Q146))=0,0,IF(OR(D146="IS",D146="BS"),0,1))</f>
        <v>0</v>
      </c>
    </row>
    <row r="147" customFormat="false" ht="15" hidden="false" customHeight="false" outlineLevel="0" collapsed="false">
      <c r="A147" s="34"/>
      <c r="B147" s="34"/>
      <c r="C147" s="34"/>
      <c r="D147" s="28" t="str">
        <f aca="false">IF(C147="","",IFERROR(INDEX(Mapping!$B$5:$B$40,MATCH(C147,Mapping!$A$5:$A$40,0)),"UNMAPPED"))</f>
        <v/>
      </c>
      <c r="E147" s="35"/>
      <c r="F147" s="35"/>
      <c r="G147" s="35"/>
      <c r="H147" s="35"/>
      <c r="I147" s="35"/>
      <c r="J147" s="35"/>
      <c r="K147" s="35"/>
      <c r="L147" s="35"/>
      <c r="M147" s="35"/>
      <c r="N147" s="35"/>
      <c r="O147" s="35"/>
      <c r="P147" s="35"/>
      <c r="Q147" s="35"/>
      <c r="R147" s="36" t="n">
        <f aca="false">IF(SUMPRODUCT(ABS(E147:Q147))=0,0,IF(OR(D147="IS",D147="BS"),0,1))</f>
        <v>0</v>
      </c>
    </row>
    <row r="148" customFormat="false" ht="15" hidden="false" customHeight="false" outlineLevel="0" collapsed="false">
      <c r="A148" s="34"/>
      <c r="B148" s="34"/>
      <c r="C148" s="34"/>
      <c r="D148" s="28" t="str">
        <f aca="false">IF(C148="","",IFERROR(INDEX(Mapping!$B$5:$B$40,MATCH(C148,Mapping!$A$5:$A$40,0)),"UNMAPPED"))</f>
        <v/>
      </c>
      <c r="E148" s="35"/>
      <c r="F148" s="35"/>
      <c r="G148" s="35"/>
      <c r="H148" s="35"/>
      <c r="I148" s="35"/>
      <c r="J148" s="35"/>
      <c r="K148" s="35"/>
      <c r="L148" s="35"/>
      <c r="M148" s="35"/>
      <c r="N148" s="35"/>
      <c r="O148" s="35"/>
      <c r="P148" s="35"/>
      <c r="Q148" s="35"/>
      <c r="R148" s="36" t="n">
        <f aca="false">IF(SUMPRODUCT(ABS(E148:Q148))=0,0,IF(OR(D148="IS",D148="BS"),0,1))</f>
        <v>0</v>
      </c>
    </row>
    <row r="149" customFormat="false" ht="15" hidden="false" customHeight="false" outlineLevel="0" collapsed="false">
      <c r="A149" s="34"/>
      <c r="B149" s="34"/>
      <c r="C149" s="34"/>
      <c r="D149" s="28" t="str">
        <f aca="false">IF(C149="","",IFERROR(INDEX(Mapping!$B$5:$B$40,MATCH(C149,Mapping!$A$5:$A$40,0)),"UNMAPPED"))</f>
        <v/>
      </c>
      <c r="E149" s="35"/>
      <c r="F149" s="35"/>
      <c r="G149" s="35"/>
      <c r="H149" s="35"/>
      <c r="I149" s="35"/>
      <c r="J149" s="35"/>
      <c r="K149" s="35"/>
      <c r="L149" s="35"/>
      <c r="M149" s="35"/>
      <c r="N149" s="35"/>
      <c r="O149" s="35"/>
      <c r="P149" s="35"/>
      <c r="Q149" s="35"/>
      <c r="R149" s="36" t="n">
        <f aca="false">IF(SUMPRODUCT(ABS(E149:Q149))=0,0,IF(OR(D149="IS",D149="BS"),0,1))</f>
        <v>0</v>
      </c>
    </row>
    <row r="150" customFormat="false" ht="15" hidden="false" customHeight="false" outlineLevel="0" collapsed="false">
      <c r="A150" s="34"/>
      <c r="B150" s="34"/>
      <c r="C150" s="34"/>
      <c r="D150" s="28" t="str">
        <f aca="false">IF(C150="","",IFERROR(INDEX(Mapping!$B$5:$B$40,MATCH(C150,Mapping!$A$5:$A$40,0)),"UNMAPPED"))</f>
        <v/>
      </c>
      <c r="E150" s="35"/>
      <c r="F150" s="35"/>
      <c r="G150" s="35"/>
      <c r="H150" s="35"/>
      <c r="I150" s="35"/>
      <c r="J150" s="35"/>
      <c r="K150" s="35"/>
      <c r="L150" s="35"/>
      <c r="M150" s="35"/>
      <c r="N150" s="35"/>
      <c r="O150" s="35"/>
      <c r="P150" s="35"/>
      <c r="Q150" s="35"/>
      <c r="R150" s="36" t="n">
        <f aca="false">IF(SUMPRODUCT(ABS(E150:Q150))=0,0,IF(OR(D150="IS",D150="BS"),0,1))</f>
        <v>0</v>
      </c>
    </row>
    <row r="151" customFormat="false" ht="15" hidden="false" customHeight="false" outlineLevel="0" collapsed="false">
      <c r="A151" s="34"/>
      <c r="B151" s="34"/>
      <c r="C151" s="34"/>
      <c r="D151" s="28" t="str">
        <f aca="false">IF(C151="","",IFERROR(INDEX(Mapping!$B$5:$B$40,MATCH(C151,Mapping!$A$5:$A$40,0)),"UNMAPPED"))</f>
        <v/>
      </c>
      <c r="E151" s="35"/>
      <c r="F151" s="35"/>
      <c r="G151" s="35"/>
      <c r="H151" s="35"/>
      <c r="I151" s="35"/>
      <c r="J151" s="35"/>
      <c r="K151" s="35"/>
      <c r="L151" s="35"/>
      <c r="M151" s="35"/>
      <c r="N151" s="35"/>
      <c r="O151" s="35"/>
      <c r="P151" s="35"/>
      <c r="Q151" s="35"/>
      <c r="R151" s="36" t="n">
        <f aca="false">IF(SUMPRODUCT(ABS(E151:Q151))=0,0,IF(OR(D151="IS",D151="BS"),0,1))</f>
        <v>0</v>
      </c>
    </row>
    <row r="152" customFormat="false" ht="15" hidden="false" customHeight="false" outlineLevel="0" collapsed="false">
      <c r="A152" s="34"/>
      <c r="B152" s="34"/>
      <c r="C152" s="34"/>
      <c r="D152" s="28" t="str">
        <f aca="false">IF(C152="","",IFERROR(INDEX(Mapping!$B$5:$B$40,MATCH(C152,Mapping!$A$5:$A$40,0)),"UNMAPPED"))</f>
        <v/>
      </c>
      <c r="E152" s="35"/>
      <c r="F152" s="35"/>
      <c r="G152" s="35"/>
      <c r="H152" s="35"/>
      <c r="I152" s="35"/>
      <c r="J152" s="35"/>
      <c r="K152" s="35"/>
      <c r="L152" s="35"/>
      <c r="M152" s="35"/>
      <c r="N152" s="35"/>
      <c r="O152" s="35"/>
      <c r="P152" s="35"/>
      <c r="Q152" s="35"/>
      <c r="R152" s="36" t="n">
        <f aca="false">IF(SUMPRODUCT(ABS(E152:Q152))=0,0,IF(OR(D152="IS",D152="BS"),0,1))</f>
        <v>0</v>
      </c>
    </row>
    <row r="153" customFormat="false" ht="15" hidden="false" customHeight="false" outlineLevel="0" collapsed="false">
      <c r="A153" s="34"/>
      <c r="B153" s="34"/>
      <c r="C153" s="34"/>
      <c r="D153" s="28" t="str">
        <f aca="false">IF(C153="","",IFERROR(INDEX(Mapping!$B$5:$B$40,MATCH(C153,Mapping!$A$5:$A$40,0)),"UNMAPPED"))</f>
        <v/>
      </c>
      <c r="E153" s="35"/>
      <c r="F153" s="35"/>
      <c r="G153" s="35"/>
      <c r="H153" s="35"/>
      <c r="I153" s="35"/>
      <c r="J153" s="35"/>
      <c r="K153" s="35"/>
      <c r="L153" s="35"/>
      <c r="M153" s="35"/>
      <c r="N153" s="35"/>
      <c r="O153" s="35"/>
      <c r="P153" s="35"/>
      <c r="Q153" s="35"/>
      <c r="R153" s="36" t="n">
        <f aca="false">IF(SUMPRODUCT(ABS(E153:Q153))=0,0,IF(OR(D153="IS",D153="BS"),0,1))</f>
        <v>0</v>
      </c>
    </row>
    <row r="154" customFormat="false" ht="15" hidden="false" customHeight="false" outlineLevel="0" collapsed="false">
      <c r="A154" s="34"/>
      <c r="B154" s="34"/>
      <c r="C154" s="34"/>
      <c r="D154" s="28" t="str">
        <f aca="false">IF(C154="","",IFERROR(INDEX(Mapping!$B$5:$B$40,MATCH(C154,Mapping!$A$5:$A$40,0)),"UNMAPPED"))</f>
        <v/>
      </c>
      <c r="E154" s="35"/>
      <c r="F154" s="35"/>
      <c r="G154" s="35"/>
      <c r="H154" s="35"/>
      <c r="I154" s="35"/>
      <c r="J154" s="35"/>
      <c r="K154" s="35"/>
      <c r="L154" s="35"/>
      <c r="M154" s="35"/>
      <c r="N154" s="35"/>
      <c r="O154" s="35"/>
      <c r="P154" s="35"/>
      <c r="Q154" s="35"/>
      <c r="R154" s="36" t="n">
        <f aca="false">IF(SUMPRODUCT(ABS(E154:Q154))=0,0,IF(OR(D154="IS",D154="BS"),0,1))</f>
        <v>0</v>
      </c>
    </row>
    <row r="155" customFormat="false" ht="15" hidden="false" customHeight="false" outlineLevel="0" collapsed="false">
      <c r="A155" s="34"/>
      <c r="B155" s="34"/>
      <c r="C155" s="34"/>
      <c r="D155" s="28" t="str">
        <f aca="false">IF(C155="","",IFERROR(INDEX(Mapping!$B$5:$B$40,MATCH(C155,Mapping!$A$5:$A$40,0)),"UNMAPPED"))</f>
        <v/>
      </c>
      <c r="E155" s="35"/>
      <c r="F155" s="35"/>
      <c r="G155" s="35"/>
      <c r="H155" s="35"/>
      <c r="I155" s="35"/>
      <c r="J155" s="35"/>
      <c r="K155" s="35"/>
      <c r="L155" s="35"/>
      <c r="M155" s="35"/>
      <c r="N155" s="35"/>
      <c r="O155" s="35"/>
      <c r="P155" s="35"/>
      <c r="Q155" s="35"/>
      <c r="R155" s="36" t="n">
        <f aca="false">IF(SUMPRODUCT(ABS(E155:Q155))=0,0,IF(OR(D155="IS",D155="BS"),0,1))</f>
        <v>0</v>
      </c>
    </row>
    <row r="156" customFormat="false" ht="15" hidden="false" customHeight="false" outlineLevel="0" collapsed="false">
      <c r="A156" s="34"/>
      <c r="B156" s="34"/>
      <c r="C156" s="34"/>
      <c r="D156" s="28" t="str">
        <f aca="false">IF(C156="","",IFERROR(INDEX(Mapping!$B$5:$B$40,MATCH(C156,Mapping!$A$5:$A$40,0)),"UNMAPPED"))</f>
        <v/>
      </c>
      <c r="E156" s="35"/>
      <c r="F156" s="35"/>
      <c r="G156" s="35"/>
      <c r="H156" s="35"/>
      <c r="I156" s="35"/>
      <c r="J156" s="35"/>
      <c r="K156" s="35"/>
      <c r="L156" s="35"/>
      <c r="M156" s="35"/>
      <c r="N156" s="35"/>
      <c r="O156" s="35"/>
      <c r="P156" s="35"/>
      <c r="Q156" s="35"/>
      <c r="R156" s="36" t="n">
        <f aca="false">IF(SUMPRODUCT(ABS(E156:Q156))=0,0,IF(OR(D156="IS",D156="BS"),0,1))</f>
        <v>0</v>
      </c>
    </row>
    <row r="157" customFormat="false" ht="15" hidden="false" customHeight="false" outlineLevel="0" collapsed="false">
      <c r="A157" s="34"/>
      <c r="B157" s="34"/>
      <c r="C157" s="34"/>
      <c r="D157" s="28" t="str">
        <f aca="false">IF(C157="","",IFERROR(INDEX(Mapping!$B$5:$B$40,MATCH(C157,Mapping!$A$5:$A$40,0)),"UNMAPPED"))</f>
        <v/>
      </c>
      <c r="E157" s="35"/>
      <c r="F157" s="35"/>
      <c r="G157" s="35"/>
      <c r="H157" s="35"/>
      <c r="I157" s="35"/>
      <c r="J157" s="35"/>
      <c r="K157" s="35"/>
      <c r="L157" s="35"/>
      <c r="M157" s="35"/>
      <c r="N157" s="35"/>
      <c r="O157" s="35"/>
      <c r="P157" s="35"/>
      <c r="Q157" s="35"/>
      <c r="R157" s="36" t="n">
        <f aca="false">IF(SUMPRODUCT(ABS(E157:Q157))=0,0,IF(OR(D157="IS",D157="BS"),0,1))</f>
        <v>0</v>
      </c>
    </row>
    <row r="158" customFormat="false" ht="15" hidden="false" customHeight="false" outlineLevel="0" collapsed="false">
      <c r="A158" s="34"/>
      <c r="B158" s="34"/>
      <c r="C158" s="34"/>
      <c r="D158" s="28" t="str">
        <f aca="false">IF(C158="","",IFERROR(INDEX(Mapping!$B$5:$B$40,MATCH(C158,Mapping!$A$5:$A$40,0)),"UNMAPPED"))</f>
        <v/>
      </c>
      <c r="E158" s="35"/>
      <c r="F158" s="35"/>
      <c r="G158" s="35"/>
      <c r="H158" s="35"/>
      <c r="I158" s="35"/>
      <c r="J158" s="35"/>
      <c r="K158" s="35"/>
      <c r="L158" s="35"/>
      <c r="M158" s="35"/>
      <c r="N158" s="35"/>
      <c r="O158" s="35"/>
      <c r="P158" s="35"/>
      <c r="Q158" s="35"/>
      <c r="R158" s="36" t="n">
        <f aca="false">IF(SUMPRODUCT(ABS(E158:Q158))=0,0,IF(OR(D158="IS",D158="BS"),0,1))</f>
        <v>0</v>
      </c>
    </row>
    <row r="159" customFormat="false" ht="15" hidden="false" customHeight="false" outlineLevel="0" collapsed="false">
      <c r="A159" s="34"/>
      <c r="B159" s="34"/>
      <c r="C159" s="34"/>
      <c r="D159" s="28" t="str">
        <f aca="false">IF(C159="","",IFERROR(INDEX(Mapping!$B$5:$B$40,MATCH(C159,Mapping!$A$5:$A$40,0)),"UNMAPPED"))</f>
        <v/>
      </c>
      <c r="E159" s="35"/>
      <c r="F159" s="35"/>
      <c r="G159" s="35"/>
      <c r="H159" s="35"/>
      <c r="I159" s="35"/>
      <c r="J159" s="35"/>
      <c r="K159" s="35"/>
      <c r="L159" s="35"/>
      <c r="M159" s="35"/>
      <c r="N159" s="35"/>
      <c r="O159" s="35"/>
      <c r="P159" s="35"/>
      <c r="Q159" s="35"/>
      <c r="R159" s="36" t="n">
        <f aca="false">IF(SUMPRODUCT(ABS(E159:Q159))=0,0,IF(OR(D159="IS",D159="BS"),0,1))</f>
        <v>0</v>
      </c>
    </row>
    <row r="160" customFormat="false" ht="15" hidden="false" customHeight="false" outlineLevel="0" collapsed="false">
      <c r="A160" s="34"/>
      <c r="B160" s="34"/>
      <c r="C160" s="34"/>
      <c r="D160" s="28" t="str">
        <f aca="false">IF(C160="","",IFERROR(INDEX(Mapping!$B$5:$B$40,MATCH(C160,Mapping!$A$5:$A$40,0)),"UNMAPPED"))</f>
        <v/>
      </c>
      <c r="E160" s="35"/>
      <c r="F160" s="35"/>
      <c r="G160" s="35"/>
      <c r="H160" s="35"/>
      <c r="I160" s="35"/>
      <c r="J160" s="35"/>
      <c r="K160" s="35"/>
      <c r="L160" s="35"/>
      <c r="M160" s="35"/>
      <c r="N160" s="35"/>
      <c r="O160" s="35"/>
      <c r="P160" s="35"/>
      <c r="Q160" s="35"/>
      <c r="R160" s="36" t="n">
        <f aca="false">IF(SUMPRODUCT(ABS(E160:Q160))=0,0,IF(OR(D160="IS",D160="BS"),0,1))</f>
        <v>0</v>
      </c>
    </row>
    <row r="161" customFormat="false" ht="15" hidden="false" customHeight="false" outlineLevel="0" collapsed="false">
      <c r="A161" s="34"/>
      <c r="B161" s="34"/>
      <c r="C161" s="34"/>
      <c r="D161" s="28" t="str">
        <f aca="false">IF(C161="","",IFERROR(INDEX(Mapping!$B$5:$B$40,MATCH(C161,Mapping!$A$5:$A$40,0)),"UNMAPPED"))</f>
        <v/>
      </c>
      <c r="E161" s="35"/>
      <c r="F161" s="35"/>
      <c r="G161" s="35"/>
      <c r="H161" s="35"/>
      <c r="I161" s="35"/>
      <c r="J161" s="35"/>
      <c r="K161" s="35"/>
      <c r="L161" s="35"/>
      <c r="M161" s="35"/>
      <c r="N161" s="35"/>
      <c r="O161" s="35"/>
      <c r="P161" s="35"/>
      <c r="Q161" s="35"/>
      <c r="R161" s="36" t="n">
        <f aca="false">IF(SUMPRODUCT(ABS(E161:Q161))=0,0,IF(OR(D161="IS",D161="BS"),0,1))</f>
        <v>0</v>
      </c>
    </row>
    <row r="162" customFormat="false" ht="15" hidden="false" customHeight="false" outlineLevel="0" collapsed="false">
      <c r="A162" s="34"/>
      <c r="B162" s="34"/>
      <c r="C162" s="34"/>
      <c r="D162" s="28" t="str">
        <f aca="false">IF(C162="","",IFERROR(INDEX(Mapping!$B$5:$B$40,MATCH(C162,Mapping!$A$5:$A$40,0)),"UNMAPPED"))</f>
        <v/>
      </c>
      <c r="E162" s="35"/>
      <c r="F162" s="35"/>
      <c r="G162" s="35"/>
      <c r="H162" s="35"/>
      <c r="I162" s="35"/>
      <c r="J162" s="35"/>
      <c r="K162" s="35"/>
      <c r="L162" s="35"/>
      <c r="M162" s="35"/>
      <c r="N162" s="35"/>
      <c r="O162" s="35"/>
      <c r="P162" s="35"/>
      <c r="Q162" s="35"/>
      <c r="R162" s="36" t="n">
        <f aca="false">IF(SUMPRODUCT(ABS(E162:Q162))=0,0,IF(OR(D162="IS",D162="BS"),0,1))</f>
        <v>0</v>
      </c>
    </row>
    <row r="163" customFormat="false" ht="15" hidden="false" customHeight="false" outlineLevel="0" collapsed="false">
      <c r="A163" s="34"/>
      <c r="B163" s="34"/>
      <c r="C163" s="34"/>
      <c r="D163" s="28" t="str">
        <f aca="false">IF(C163="","",IFERROR(INDEX(Mapping!$B$5:$B$40,MATCH(C163,Mapping!$A$5:$A$40,0)),"UNMAPPED"))</f>
        <v/>
      </c>
      <c r="E163" s="35"/>
      <c r="F163" s="35"/>
      <c r="G163" s="35"/>
      <c r="H163" s="35"/>
      <c r="I163" s="35"/>
      <c r="J163" s="35"/>
      <c r="K163" s="35"/>
      <c r="L163" s="35"/>
      <c r="M163" s="35"/>
      <c r="N163" s="35"/>
      <c r="O163" s="35"/>
      <c r="P163" s="35"/>
      <c r="Q163" s="35"/>
      <c r="R163" s="36" t="n">
        <f aca="false">IF(SUMPRODUCT(ABS(E163:Q163))=0,0,IF(OR(D163="IS",D163="BS"),0,1))</f>
        <v>0</v>
      </c>
    </row>
    <row r="164" customFormat="false" ht="15" hidden="false" customHeight="false" outlineLevel="0" collapsed="false">
      <c r="A164" s="34"/>
      <c r="B164" s="34"/>
      <c r="C164" s="34"/>
      <c r="D164" s="28" t="str">
        <f aca="false">IF(C164="","",IFERROR(INDEX(Mapping!$B$5:$B$40,MATCH(C164,Mapping!$A$5:$A$40,0)),"UNMAPPED"))</f>
        <v/>
      </c>
      <c r="E164" s="35"/>
      <c r="F164" s="35"/>
      <c r="G164" s="35"/>
      <c r="H164" s="35"/>
      <c r="I164" s="35"/>
      <c r="J164" s="35"/>
      <c r="K164" s="35"/>
      <c r="L164" s="35"/>
      <c r="M164" s="35"/>
      <c r="N164" s="35"/>
      <c r="O164" s="35"/>
      <c r="P164" s="35"/>
      <c r="Q164" s="35"/>
      <c r="R164" s="36" t="n">
        <f aca="false">IF(SUMPRODUCT(ABS(E164:Q164))=0,0,IF(OR(D164="IS",D164="BS"),0,1))</f>
        <v>0</v>
      </c>
    </row>
    <row r="165" customFormat="false" ht="15" hidden="false" customHeight="false" outlineLevel="0" collapsed="false">
      <c r="A165" s="34"/>
      <c r="B165" s="34"/>
      <c r="C165" s="34"/>
      <c r="D165" s="28" t="str">
        <f aca="false">IF(C165="","",IFERROR(INDEX(Mapping!$B$5:$B$40,MATCH(C165,Mapping!$A$5:$A$40,0)),"UNMAPPED"))</f>
        <v/>
      </c>
      <c r="E165" s="35"/>
      <c r="F165" s="35"/>
      <c r="G165" s="35"/>
      <c r="H165" s="35"/>
      <c r="I165" s="35"/>
      <c r="J165" s="35"/>
      <c r="K165" s="35"/>
      <c r="L165" s="35"/>
      <c r="M165" s="35"/>
      <c r="N165" s="35"/>
      <c r="O165" s="35"/>
      <c r="P165" s="35"/>
      <c r="Q165" s="35"/>
      <c r="R165" s="36" t="n">
        <f aca="false">IF(SUMPRODUCT(ABS(E165:Q165))=0,0,IF(OR(D165="IS",D165="BS"),0,1))</f>
        <v>0</v>
      </c>
    </row>
    <row r="166" customFormat="false" ht="15" hidden="false" customHeight="false" outlineLevel="0" collapsed="false">
      <c r="A166" s="34"/>
      <c r="B166" s="34"/>
      <c r="C166" s="34"/>
      <c r="D166" s="28" t="str">
        <f aca="false">IF(C166="","",IFERROR(INDEX(Mapping!$B$5:$B$40,MATCH(C166,Mapping!$A$5:$A$40,0)),"UNMAPPED"))</f>
        <v/>
      </c>
      <c r="E166" s="35"/>
      <c r="F166" s="35"/>
      <c r="G166" s="35"/>
      <c r="H166" s="35"/>
      <c r="I166" s="35"/>
      <c r="J166" s="35"/>
      <c r="K166" s="35"/>
      <c r="L166" s="35"/>
      <c r="M166" s="35"/>
      <c r="N166" s="35"/>
      <c r="O166" s="35"/>
      <c r="P166" s="35"/>
      <c r="Q166" s="35"/>
      <c r="R166" s="36" t="n">
        <f aca="false">IF(SUMPRODUCT(ABS(E166:Q166))=0,0,IF(OR(D166="IS",D166="BS"),0,1))</f>
        <v>0</v>
      </c>
    </row>
    <row r="167" customFormat="false" ht="15" hidden="false" customHeight="false" outlineLevel="0" collapsed="false">
      <c r="A167" s="34"/>
      <c r="B167" s="34"/>
      <c r="C167" s="34"/>
      <c r="D167" s="28" t="str">
        <f aca="false">IF(C167="","",IFERROR(INDEX(Mapping!$B$5:$B$40,MATCH(C167,Mapping!$A$5:$A$40,0)),"UNMAPPED"))</f>
        <v/>
      </c>
      <c r="E167" s="35"/>
      <c r="F167" s="35"/>
      <c r="G167" s="35"/>
      <c r="H167" s="35"/>
      <c r="I167" s="35"/>
      <c r="J167" s="35"/>
      <c r="K167" s="35"/>
      <c r="L167" s="35"/>
      <c r="M167" s="35"/>
      <c r="N167" s="35"/>
      <c r="O167" s="35"/>
      <c r="P167" s="35"/>
      <c r="Q167" s="35"/>
      <c r="R167" s="36" t="n">
        <f aca="false">IF(SUMPRODUCT(ABS(E167:Q167))=0,0,IF(OR(D167="IS",D167="BS"),0,1))</f>
        <v>0</v>
      </c>
    </row>
    <row r="168" customFormat="false" ht="15" hidden="false" customHeight="false" outlineLevel="0" collapsed="false">
      <c r="A168" s="34"/>
      <c r="B168" s="34"/>
      <c r="C168" s="34"/>
      <c r="D168" s="28" t="str">
        <f aca="false">IF(C168="","",IFERROR(INDEX(Mapping!$B$5:$B$40,MATCH(C168,Mapping!$A$5:$A$40,0)),"UNMAPPED"))</f>
        <v/>
      </c>
      <c r="E168" s="35"/>
      <c r="F168" s="35"/>
      <c r="G168" s="35"/>
      <c r="H168" s="35"/>
      <c r="I168" s="35"/>
      <c r="J168" s="35"/>
      <c r="K168" s="35"/>
      <c r="L168" s="35"/>
      <c r="M168" s="35"/>
      <c r="N168" s="35"/>
      <c r="O168" s="35"/>
      <c r="P168" s="35"/>
      <c r="Q168" s="35"/>
      <c r="R168" s="36" t="n">
        <f aca="false">IF(SUMPRODUCT(ABS(E168:Q168))=0,0,IF(OR(D168="IS",D168="BS"),0,1))</f>
        <v>0</v>
      </c>
    </row>
    <row r="169" customFormat="false" ht="15" hidden="false" customHeight="false" outlineLevel="0" collapsed="false">
      <c r="A169" s="34"/>
      <c r="B169" s="34"/>
      <c r="C169" s="34"/>
      <c r="D169" s="28" t="str">
        <f aca="false">IF(C169="","",IFERROR(INDEX(Mapping!$B$5:$B$40,MATCH(C169,Mapping!$A$5:$A$40,0)),"UNMAPPED"))</f>
        <v/>
      </c>
      <c r="E169" s="35"/>
      <c r="F169" s="35"/>
      <c r="G169" s="35"/>
      <c r="H169" s="35"/>
      <c r="I169" s="35"/>
      <c r="J169" s="35"/>
      <c r="K169" s="35"/>
      <c r="L169" s="35"/>
      <c r="M169" s="35"/>
      <c r="N169" s="35"/>
      <c r="O169" s="35"/>
      <c r="P169" s="35"/>
      <c r="Q169" s="35"/>
      <c r="R169" s="36" t="n">
        <f aca="false">IF(SUMPRODUCT(ABS(E169:Q169))=0,0,IF(OR(D169="IS",D169="BS"),0,1))</f>
        <v>0</v>
      </c>
    </row>
    <row r="170" customFormat="false" ht="15" hidden="false" customHeight="false" outlineLevel="0" collapsed="false">
      <c r="A170" s="34"/>
      <c r="B170" s="34"/>
      <c r="C170" s="34"/>
      <c r="D170" s="28" t="str">
        <f aca="false">IF(C170="","",IFERROR(INDEX(Mapping!$B$5:$B$40,MATCH(C170,Mapping!$A$5:$A$40,0)),"UNMAPPED"))</f>
        <v/>
      </c>
      <c r="E170" s="35"/>
      <c r="F170" s="35"/>
      <c r="G170" s="35"/>
      <c r="H170" s="35"/>
      <c r="I170" s="35"/>
      <c r="J170" s="35"/>
      <c r="K170" s="35"/>
      <c r="L170" s="35"/>
      <c r="M170" s="35"/>
      <c r="N170" s="35"/>
      <c r="O170" s="35"/>
      <c r="P170" s="35"/>
      <c r="Q170" s="35"/>
      <c r="R170" s="36" t="n">
        <f aca="false">IF(SUMPRODUCT(ABS(E170:Q170))=0,0,IF(OR(D170="IS",D170="BS"),0,1))</f>
        <v>0</v>
      </c>
    </row>
    <row r="171" customFormat="false" ht="15" hidden="false" customHeight="false" outlineLevel="0" collapsed="false">
      <c r="A171" s="34"/>
      <c r="B171" s="34"/>
      <c r="C171" s="34"/>
      <c r="D171" s="28" t="str">
        <f aca="false">IF(C171="","",IFERROR(INDEX(Mapping!$B$5:$B$40,MATCH(C171,Mapping!$A$5:$A$40,0)),"UNMAPPED"))</f>
        <v/>
      </c>
      <c r="E171" s="35"/>
      <c r="F171" s="35"/>
      <c r="G171" s="35"/>
      <c r="H171" s="35"/>
      <c r="I171" s="35"/>
      <c r="J171" s="35"/>
      <c r="K171" s="35"/>
      <c r="L171" s="35"/>
      <c r="M171" s="35"/>
      <c r="N171" s="35"/>
      <c r="O171" s="35"/>
      <c r="P171" s="35"/>
      <c r="Q171" s="35"/>
      <c r="R171" s="36" t="n">
        <f aca="false">IF(SUMPRODUCT(ABS(E171:Q171))=0,0,IF(OR(D171="IS",D171="BS"),0,1))</f>
        <v>0</v>
      </c>
    </row>
    <row r="172" customFormat="false" ht="15" hidden="false" customHeight="false" outlineLevel="0" collapsed="false">
      <c r="A172" s="34"/>
      <c r="B172" s="34"/>
      <c r="C172" s="34"/>
      <c r="D172" s="28" t="str">
        <f aca="false">IF(C172="","",IFERROR(INDEX(Mapping!$B$5:$B$40,MATCH(C172,Mapping!$A$5:$A$40,0)),"UNMAPPED"))</f>
        <v/>
      </c>
      <c r="E172" s="35"/>
      <c r="F172" s="35"/>
      <c r="G172" s="35"/>
      <c r="H172" s="35"/>
      <c r="I172" s="35"/>
      <c r="J172" s="35"/>
      <c r="K172" s="35"/>
      <c r="L172" s="35"/>
      <c r="M172" s="35"/>
      <c r="N172" s="35"/>
      <c r="O172" s="35"/>
      <c r="P172" s="35"/>
      <c r="Q172" s="35"/>
      <c r="R172" s="36" t="n">
        <f aca="false">IF(SUMPRODUCT(ABS(E172:Q172))=0,0,IF(OR(D172="IS",D172="BS"),0,1))</f>
        <v>0</v>
      </c>
    </row>
    <row r="173" customFormat="false" ht="15" hidden="false" customHeight="false" outlineLevel="0" collapsed="false">
      <c r="A173" s="34"/>
      <c r="B173" s="34"/>
      <c r="C173" s="34"/>
      <c r="D173" s="28" t="str">
        <f aca="false">IF(C173="","",IFERROR(INDEX(Mapping!$B$5:$B$40,MATCH(C173,Mapping!$A$5:$A$40,0)),"UNMAPPED"))</f>
        <v/>
      </c>
      <c r="E173" s="35"/>
      <c r="F173" s="35"/>
      <c r="G173" s="35"/>
      <c r="H173" s="35"/>
      <c r="I173" s="35"/>
      <c r="J173" s="35"/>
      <c r="K173" s="35"/>
      <c r="L173" s="35"/>
      <c r="M173" s="35"/>
      <c r="N173" s="35"/>
      <c r="O173" s="35"/>
      <c r="P173" s="35"/>
      <c r="Q173" s="35"/>
      <c r="R173" s="36" t="n">
        <f aca="false">IF(SUMPRODUCT(ABS(E173:Q173))=0,0,IF(OR(D173="IS",D173="BS"),0,1))</f>
        <v>0</v>
      </c>
    </row>
    <row r="174" customFormat="false" ht="15" hidden="false" customHeight="false" outlineLevel="0" collapsed="false">
      <c r="A174" s="34"/>
      <c r="B174" s="34"/>
      <c r="C174" s="34"/>
      <c r="D174" s="28" t="str">
        <f aca="false">IF(C174="","",IFERROR(INDEX(Mapping!$B$5:$B$40,MATCH(C174,Mapping!$A$5:$A$40,0)),"UNMAPPED"))</f>
        <v/>
      </c>
      <c r="E174" s="35"/>
      <c r="F174" s="35"/>
      <c r="G174" s="35"/>
      <c r="H174" s="35"/>
      <c r="I174" s="35"/>
      <c r="J174" s="35"/>
      <c r="K174" s="35"/>
      <c r="L174" s="35"/>
      <c r="M174" s="35"/>
      <c r="N174" s="35"/>
      <c r="O174" s="35"/>
      <c r="P174" s="35"/>
      <c r="Q174" s="35"/>
      <c r="R174" s="36" t="n">
        <f aca="false">IF(SUMPRODUCT(ABS(E174:Q174))=0,0,IF(OR(D174="IS",D174="BS"),0,1))</f>
        <v>0</v>
      </c>
    </row>
    <row r="175" customFormat="false" ht="15" hidden="false" customHeight="false" outlineLevel="0" collapsed="false">
      <c r="A175" s="34"/>
      <c r="B175" s="34"/>
      <c r="C175" s="34"/>
      <c r="D175" s="28" t="str">
        <f aca="false">IF(C175="","",IFERROR(INDEX(Mapping!$B$5:$B$40,MATCH(C175,Mapping!$A$5:$A$40,0)),"UNMAPPED"))</f>
        <v/>
      </c>
      <c r="E175" s="35"/>
      <c r="F175" s="35"/>
      <c r="G175" s="35"/>
      <c r="H175" s="35"/>
      <c r="I175" s="35"/>
      <c r="J175" s="35"/>
      <c r="K175" s="35"/>
      <c r="L175" s="35"/>
      <c r="M175" s="35"/>
      <c r="N175" s="35"/>
      <c r="O175" s="35"/>
      <c r="P175" s="35"/>
      <c r="Q175" s="35"/>
      <c r="R175" s="36" t="n">
        <f aca="false">IF(SUMPRODUCT(ABS(E175:Q175))=0,0,IF(OR(D175="IS",D175="BS"),0,1))</f>
        <v>0</v>
      </c>
    </row>
    <row r="176" customFormat="false" ht="15" hidden="false" customHeight="false" outlineLevel="0" collapsed="false">
      <c r="A176" s="34"/>
      <c r="B176" s="34"/>
      <c r="C176" s="34"/>
      <c r="D176" s="28" t="str">
        <f aca="false">IF(C176="","",IFERROR(INDEX(Mapping!$B$5:$B$40,MATCH(C176,Mapping!$A$5:$A$40,0)),"UNMAPPED"))</f>
        <v/>
      </c>
      <c r="E176" s="35"/>
      <c r="F176" s="35"/>
      <c r="G176" s="35"/>
      <c r="H176" s="35"/>
      <c r="I176" s="35"/>
      <c r="J176" s="35"/>
      <c r="K176" s="35"/>
      <c r="L176" s="35"/>
      <c r="M176" s="35"/>
      <c r="N176" s="35"/>
      <c r="O176" s="35"/>
      <c r="P176" s="35"/>
      <c r="Q176" s="35"/>
      <c r="R176" s="36" t="n">
        <f aca="false">IF(SUMPRODUCT(ABS(E176:Q176))=0,0,IF(OR(D176="IS",D176="BS"),0,1))</f>
        <v>0</v>
      </c>
    </row>
    <row r="177" customFormat="false" ht="15" hidden="false" customHeight="false" outlineLevel="0" collapsed="false">
      <c r="A177" s="34"/>
      <c r="B177" s="34"/>
      <c r="C177" s="34"/>
      <c r="D177" s="28" t="str">
        <f aca="false">IF(C177="","",IFERROR(INDEX(Mapping!$B$5:$B$40,MATCH(C177,Mapping!$A$5:$A$40,0)),"UNMAPPED"))</f>
        <v/>
      </c>
      <c r="E177" s="35"/>
      <c r="F177" s="35"/>
      <c r="G177" s="35"/>
      <c r="H177" s="35"/>
      <c r="I177" s="35"/>
      <c r="J177" s="35"/>
      <c r="K177" s="35"/>
      <c r="L177" s="35"/>
      <c r="M177" s="35"/>
      <c r="N177" s="35"/>
      <c r="O177" s="35"/>
      <c r="P177" s="35"/>
      <c r="Q177" s="35"/>
      <c r="R177" s="36" t="n">
        <f aca="false">IF(SUMPRODUCT(ABS(E177:Q177))=0,0,IF(OR(D177="IS",D177="BS"),0,1))</f>
        <v>0</v>
      </c>
    </row>
    <row r="178" customFormat="false" ht="15" hidden="false" customHeight="false" outlineLevel="0" collapsed="false">
      <c r="A178" s="34"/>
      <c r="B178" s="34"/>
      <c r="C178" s="34"/>
      <c r="D178" s="28" t="str">
        <f aca="false">IF(C178="","",IFERROR(INDEX(Mapping!$B$5:$B$40,MATCH(C178,Mapping!$A$5:$A$40,0)),"UNMAPPED"))</f>
        <v/>
      </c>
      <c r="E178" s="35"/>
      <c r="F178" s="35"/>
      <c r="G178" s="35"/>
      <c r="H178" s="35"/>
      <c r="I178" s="35"/>
      <c r="J178" s="35"/>
      <c r="K178" s="35"/>
      <c r="L178" s="35"/>
      <c r="M178" s="35"/>
      <c r="N178" s="35"/>
      <c r="O178" s="35"/>
      <c r="P178" s="35"/>
      <c r="Q178" s="35"/>
      <c r="R178" s="36" t="n">
        <f aca="false">IF(SUMPRODUCT(ABS(E178:Q178))=0,0,IF(OR(D178="IS",D178="BS"),0,1))</f>
        <v>0</v>
      </c>
    </row>
    <row r="179" customFormat="false" ht="15" hidden="false" customHeight="false" outlineLevel="0" collapsed="false">
      <c r="A179" s="34"/>
      <c r="B179" s="34"/>
      <c r="C179" s="34"/>
      <c r="D179" s="28" t="str">
        <f aca="false">IF(C179="","",IFERROR(INDEX(Mapping!$B$5:$B$40,MATCH(C179,Mapping!$A$5:$A$40,0)),"UNMAPPED"))</f>
        <v/>
      </c>
      <c r="E179" s="35"/>
      <c r="F179" s="35"/>
      <c r="G179" s="35"/>
      <c r="H179" s="35"/>
      <c r="I179" s="35"/>
      <c r="J179" s="35"/>
      <c r="K179" s="35"/>
      <c r="L179" s="35"/>
      <c r="M179" s="35"/>
      <c r="N179" s="35"/>
      <c r="O179" s="35"/>
      <c r="P179" s="35"/>
      <c r="Q179" s="35"/>
      <c r="R179" s="36" t="n">
        <f aca="false">IF(SUMPRODUCT(ABS(E179:Q179))=0,0,IF(OR(D179="IS",D179="BS"),0,1))</f>
        <v>0</v>
      </c>
    </row>
    <row r="180" customFormat="false" ht="15" hidden="false" customHeight="false" outlineLevel="0" collapsed="false">
      <c r="A180" s="34"/>
      <c r="B180" s="34"/>
      <c r="C180" s="34"/>
      <c r="D180" s="28" t="str">
        <f aca="false">IF(C180="","",IFERROR(INDEX(Mapping!$B$5:$B$40,MATCH(C180,Mapping!$A$5:$A$40,0)),"UNMAPPED"))</f>
        <v/>
      </c>
      <c r="E180" s="35"/>
      <c r="F180" s="35"/>
      <c r="G180" s="35"/>
      <c r="H180" s="35"/>
      <c r="I180" s="35"/>
      <c r="J180" s="35"/>
      <c r="K180" s="35"/>
      <c r="L180" s="35"/>
      <c r="M180" s="35"/>
      <c r="N180" s="35"/>
      <c r="O180" s="35"/>
      <c r="P180" s="35"/>
      <c r="Q180" s="35"/>
      <c r="R180" s="36" t="n">
        <f aca="false">IF(SUMPRODUCT(ABS(E180:Q180))=0,0,IF(OR(D180="IS",D180="BS"),0,1))</f>
        <v>0</v>
      </c>
    </row>
    <row r="181" customFormat="false" ht="15" hidden="false" customHeight="false" outlineLevel="0" collapsed="false">
      <c r="A181" s="34"/>
      <c r="B181" s="34"/>
      <c r="C181" s="34"/>
      <c r="D181" s="28" t="str">
        <f aca="false">IF(C181="","",IFERROR(INDEX(Mapping!$B$5:$B$40,MATCH(C181,Mapping!$A$5:$A$40,0)),"UNMAPPED"))</f>
        <v/>
      </c>
      <c r="E181" s="35"/>
      <c r="F181" s="35"/>
      <c r="G181" s="35"/>
      <c r="H181" s="35"/>
      <c r="I181" s="35"/>
      <c r="J181" s="35"/>
      <c r="K181" s="35"/>
      <c r="L181" s="35"/>
      <c r="M181" s="35"/>
      <c r="N181" s="35"/>
      <c r="O181" s="35"/>
      <c r="P181" s="35"/>
      <c r="Q181" s="35"/>
      <c r="R181" s="36" t="n">
        <f aca="false">IF(SUMPRODUCT(ABS(E181:Q181))=0,0,IF(OR(D181="IS",D181="BS"),0,1))</f>
        <v>0</v>
      </c>
    </row>
    <row r="182" customFormat="false" ht="15" hidden="false" customHeight="false" outlineLevel="0" collapsed="false">
      <c r="A182" s="34"/>
      <c r="B182" s="34"/>
      <c r="C182" s="34"/>
      <c r="D182" s="28" t="str">
        <f aca="false">IF(C182="","",IFERROR(INDEX(Mapping!$B$5:$B$40,MATCH(C182,Mapping!$A$5:$A$40,0)),"UNMAPPED"))</f>
        <v/>
      </c>
      <c r="E182" s="35"/>
      <c r="F182" s="35"/>
      <c r="G182" s="35"/>
      <c r="H182" s="35"/>
      <c r="I182" s="35"/>
      <c r="J182" s="35"/>
      <c r="K182" s="35"/>
      <c r="L182" s="35"/>
      <c r="M182" s="35"/>
      <c r="N182" s="35"/>
      <c r="O182" s="35"/>
      <c r="P182" s="35"/>
      <c r="Q182" s="35"/>
      <c r="R182" s="36" t="n">
        <f aca="false">IF(SUMPRODUCT(ABS(E182:Q182))=0,0,IF(OR(D182="IS",D182="BS"),0,1))</f>
        <v>0</v>
      </c>
    </row>
    <row r="183" customFormat="false" ht="15" hidden="false" customHeight="false" outlineLevel="0" collapsed="false">
      <c r="A183" s="34"/>
      <c r="B183" s="34"/>
      <c r="C183" s="34"/>
      <c r="D183" s="28" t="str">
        <f aca="false">IF(C183="","",IFERROR(INDEX(Mapping!$B$5:$B$40,MATCH(C183,Mapping!$A$5:$A$40,0)),"UNMAPPED"))</f>
        <v/>
      </c>
      <c r="E183" s="35"/>
      <c r="F183" s="35"/>
      <c r="G183" s="35"/>
      <c r="H183" s="35"/>
      <c r="I183" s="35"/>
      <c r="J183" s="35"/>
      <c r="K183" s="35"/>
      <c r="L183" s="35"/>
      <c r="M183" s="35"/>
      <c r="N183" s="35"/>
      <c r="O183" s="35"/>
      <c r="P183" s="35"/>
      <c r="Q183" s="35"/>
      <c r="R183" s="36" t="n">
        <f aca="false">IF(SUMPRODUCT(ABS(E183:Q183))=0,0,IF(OR(D183="IS",D183="BS"),0,1))</f>
        <v>0</v>
      </c>
    </row>
    <row r="184" customFormat="false" ht="15" hidden="false" customHeight="false" outlineLevel="0" collapsed="false">
      <c r="A184" s="34"/>
      <c r="B184" s="34"/>
      <c r="C184" s="34"/>
      <c r="D184" s="28" t="str">
        <f aca="false">IF(C184="","",IFERROR(INDEX(Mapping!$B$5:$B$40,MATCH(C184,Mapping!$A$5:$A$40,0)),"UNMAPPED"))</f>
        <v/>
      </c>
      <c r="E184" s="35"/>
      <c r="F184" s="35"/>
      <c r="G184" s="35"/>
      <c r="H184" s="35"/>
      <c r="I184" s="35"/>
      <c r="J184" s="35"/>
      <c r="K184" s="35"/>
      <c r="L184" s="35"/>
      <c r="M184" s="35"/>
      <c r="N184" s="35"/>
      <c r="O184" s="35"/>
      <c r="P184" s="35"/>
      <c r="Q184" s="35"/>
      <c r="R184" s="36" t="n">
        <f aca="false">IF(SUMPRODUCT(ABS(E184:Q184))=0,0,IF(OR(D184="IS",D184="BS"),0,1))</f>
        <v>0</v>
      </c>
    </row>
    <row r="185" customFormat="false" ht="15" hidden="false" customHeight="false" outlineLevel="0" collapsed="false">
      <c r="A185" s="34"/>
      <c r="B185" s="34"/>
      <c r="C185" s="34"/>
      <c r="D185" s="28" t="str">
        <f aca="false">IF(C185="","",IFERROR(INDEX(Mapping!$B$5:$B$40,MATCH(C185,Mapping!$A$5:$A$40,0)),"UNMAPPED"))</f>
        <v/>
      </c>
      <c r="E185" s="35"/>
      <c r="F185" s="35"/>
      <c r="G185" s="35"/>
      <c r="H185" s="35"/>
      <c r="I185" s="35"/>
      <c r="J185" s="35"/>
      <c r="K185" s="35"/>
      <c r="L185" s="35"/>
      <c r="M185" s="35"/>
      <c r="N185" s="35"/>
      <c r="O185" s="35"/>
      <c r="P185" s="35"/>
      <c r="Q185" s="35"/>
      <c r="R185" s="36" t="n">
        <f aca="false">IF(SUMPRODUCT(ABS(E185:Q185))=0,0,IF(OR(D185="IS",D185="BS"),0,1))</f>
        <v>0</v>
      </c>
    </row>
    <row r="186" customFormat="false" ht="15" hidden="false" customHeight="false" outlineLevel="0" collapsed="false">
      <c r="A186" s="34"/>
      <c r="B186" s="34"/>
      <c r="C186" s="34"/>
      <c r="D186" s="28" t="str">
        <f aca="false">IF(C186="","",IFERROR(INDEX(Mapping!$B$5:$B$40,MATCH(C186,Mapping!$A$5:$A$40,0)),"UNMAPPED"))</f>
        <v/>
      </c>
      <c r="E186" s="35"/>
      <c r="F186" s="35"/>
      <c r="G186" s="35"/>
      <c r="H186" s="35"/>
      <c r="I186" s="35"/>
      <c r="J186" s="35"/>
      <c r="K186" s="35"/>
      <c r="L186" s="35"/>
      <c r="M186" s="35"/>
      <c r="N186" s="35"/>
      <c r="O186" s="35"/>
      <c r="P186" s="35"/>
      <c r="Q186" s="35"/>
      <c r="R186" s="36" t="n">
        <f aca="false">IF(SUMPRODUCT(ABS(E186:Q186))=0,0,IF(OR(D186="IS",D186="BS"),0,1))</f>
        <v>0</v>
      </c>
    </row>
    <row r="187" customFormat="false" ht="15" hidden="false" customHeight="false" outlineLevel="0" collapsed="false">
      <c r="A187" s="34"/>
      <c r="B187" s="34"/>
      <c r="C187" s="34"/>
      <c r="D187" s="28" t="str">
        <f aca="false">IF(C187="","",IFERROR(INDEX(Mapping!$B$5:$B$40,MATCH(C187,Mapping!$A$5:$A$40,0)),"UNMAPPED"))</f>
        <v/>
      </c>
      <c r="E187" s="35"/>
      <c r="F187" s="35"/>
      <c r="G187" s="35"/>
      <c r="H187" s="35"/>
      <c r="I187" s="35"/>
      <c r="J187" s="35"/>
      <c r="K187" s="35"/>
      <c r="L187" s="35"/>
      <c r="M187" s="35"/>
      <c r="N187" s="35"/>
      <c r="O187" s="35"/>
      <c r="P187" s="35"/>
      <c r="Q187" s="35"/>
      <c r="R187" s="36" t="n">
        <f aca="false">IF(SUMPRODUCT(ABS(E187:Q187))=0,0,IF(OR(D187="IS",D187="BS"),0,1))</f>
        <v>0</v>
      </c>
    </row>
    <row r="188" customFormat="false" ht="15" hidden="false" customHeight="false" outlineLevel="0" collapsed="false">
      <c r="A188" s="34"/>
      <c r="B188" s="34"/>
      <c r="C188" s="34"/>
      <c r="D188" s="28" t="str">
        <f aca="false">IF(C188="","",IFERROR(INDEX(Mapping!$B$5:$B$40,MATCH(C188,Mapping!$A$5:$A$40,0)),"UNMAPPED"))</f>
        <v/>
      </c>
      <c r="E188" s="35"/>
      <c r="F188" s="35"/>
      <c r="G188" s="35"/>
      <c r="H188" s="35"/>
      <c r="I188" s="35"/>
      <c r="J188" s="35"/>
      <c r="K188" s="35"/>
      <c r="L188" s="35"/>
      <c r="M188" s="35"/>
      <c r="N188" s="35"/>
      <c r="O188" s="35"/>
      <c r="P188" s="35"/>
      <c r="Q188" s="35"/>
      <c r="R188" s="36" t="n">
        <f aca="false">IF(SUMPRODUCT(ABS(E188:Q188))=0,0,IF(OR(D188="IS",D188="BS"),0,1))</f>
        <v>0</v>
      </c>
    </row>
    <row r="189" customFormat="false" ht="15" hidden="false" customHeight="false" outlineLevel="0" collapsed="false">
      <c r="A189" s="34"/>
      <c r="B189" s="34"/>
      <c r="C189" s="34"/>
      <c r="D189" s="28" t="str">
        <f aca="false">IF(C189="","",IFERROR(INDEX(Mapping!$B$5:$B$40,MATCH(C189,Mapping!$A$5:$A$40,0)),"UNMAPPED"))</f>
        <v/>
      </c>
      <c r="E189" s="35"/>
      <c r="F189" s="35"/>
      <c r="G189" s="35"/>
      <c r="H189" s="35"/>
      <c r="I189" s="35"/>
      <c r="J189" s="35"/>
      <c r="K189" s="35"/>
      <c r="L189" s="35"/>
      <c r="M189" s="35"/>
      <c r="N189" s="35"/>
      <c r="O189" s="35"/>
      <c r="P189" s="35"/>
      <c r="Q189" s="35"/>
      <c r="R189" s="36" t="n">
        <f aca="false">IF(SUMPRODUCT(ABS(E189:Q189))=0,0,IF(OR(D189="IS",D189="BS"),0,1))</f>
        <v>0</v>
      </c>
    </row>
    <row r="190" customFormat="false" ht="15" hidden="false" customHeight="false" outlineLevel="0" collapsed="false">
      <c r="A190" s="34"/>
      <c r="B190" s="34"/>
      <c r="C190" s="34"/>
      <c r="D190" s="28" t="str">
        <f aca="false">IF(C190="","",IFERROR(INDEX(Mapping!$B$5:$B$40,MATCH(C190,Mapping!$A$5:$A$40,0)),"UNMAPPED"))</f>
        <v/>
      </c>
      <c r="E190" s="35"/>
      <c r="F190" s="35"/>
      <c r="G190" s="35"/>
      <c r="H190" s="35"/>
      <c r="I190" s="35"/>
      <c r="J190" s="35"/>
      <c r="K190" s="35"/>
      <c r="L190" s="35"/>
      <c r="M190" s="35"/>
      <c r="N190" s="35"/>
      <c r="O190" s="35"/>
      <c r="P190" s="35"/>
      <c r="Q190" s="35"/>
      <c r="R190" s="36" t="n">
        <f aca="false">IF(SUMPRODUCT(ABS(E190:Q190))=0,0,IF(OR(D190="IS",D190="BS"),0,1))</f>
        <v>0</v>
      </c>
    </row>
    <row r="191" customFormat="false" ht="15" hidden="false" customHeight="false" outlineLevel="0" collapsed="false">
      <c r="A191" s="34"/>
      <c r="B191" s="34"/>
      <c r="C191" s="34"/>
      <c r="D191" s="28" t="str">
        <f aca="false">IF(C191="","",IFERROR(INDEX(Mapping!$B$5:$B$40,MATCH(C191,Mapping!$A$5:$A$40,0)),"UNMAPPED"))</f>
        <v/>
      </c>
      <c r="E191" s="35"/>
      <c r="F191" s="35"/>
      <c r="G191" s="35"/>
      <c r="H191" s="35"/>
      <c r="I191" s="35"/>
      <c r="J191" s="35"/>
      <c r="K191" s="35"/>
      <c r="L191" s="35"/>
      <c r="M191" s="35"/>
      <c r="N191" s="35"/>
      <c r="O191" s="35"/>
      <c r="P191" s="35"/>
      <c r="Q191" s="35"/>
      <c r="R191" s="36" t="n">
        <f aca="false">IF(SUMPRODUCT(ABS(E191:Q191))=0,0,IF(OR(D191="IS",D191="BS"),0,1))</f>
        <v>0</v>
      </c>
    </row>
    <row r="192" customFormat="false" ht="15" hidden="false" customHeight="false" outlineLevel="0" collapsed="false">
      <c r="A192" s="34"/>
      <c r="B192" s="34"/>
      <c r="C192" s="34"/>
      <c r="D192" s="28" t="str">
        <f aca="false">IF(C192="","",IFERROR(INDEX(Mapping!$B$5:$B$40,MATCH(C192,Mapping!$A$5:$A$40,0)),"UNMAPPED"))</f>
        <v/>
      </c>
      <c r="E192" s="35"/>
      <c r="F192" s="35"/>
      <c r="G192" s="35"/>
      <c r="H192" s="35"/>
      <c r="I192" s="35"/>
      <c r="J192" s="35"/>
      <c r="K192" s="35"/>
      <c r="L192" s="35"/>
      <c r="M192" s="35"/>
      <c r="N192" s="35"/>
      <c r="O192" s="35"/>
      <c r="P192" s="35"/>
      <c r="Q192" s="35"/>
      <c r="R192" s="36" t="n">
        <f aca="false">IF(SUMPRODUCT(ABS(E192:Q192))=0,0,IF(OR(D192="IS",D192="BS"),0,1))</f>
        <v>0</v>
      </c>
    </row>
    <row r="193" customFormat="false" ht="15" hidden="false" customHeight="false" outlineLevel="0" collapsed="false">
      <c r="A193" s="34"/>
      <c r="B193" s="34"/>
      <c r="C193" s="34"/>
      <c r="D193" s="28" t="str">
        <f aca="false">IF(C193="","",IFERROR(INDEX(Mapping!$B$5:$B$40,MATCH(C193,Mapping!$A$5:$A$40,0)),"UNMAPPED"))</f>
        <v/>
      </c>
      <c r="E193" s="35"/>
      <c r="F193" s="35"/>
      <c r="G193" s="35"/>
      <c r="H193" s="35"/>
      <c r="I193" s="35"/>
      <c r="J193" s="35"/>
      <c r="K193" s="35"/>
      <c r="L193" s="35"/>
      <c r="M193" s="35"/>
      <c r="N193" s="35"/>
      <c r="O193" s="35"/>
      <c r="P193" s="35"/>
      <c r="Q193" s="35"/>
      <c r="R193" s="36" t="n">
        <f aca="false">IF(SUMPRODUCT(ABS(E193:Q193))=0,0,IF(OR(D193="IS",D193="BS"),0,1))</f>
        <v>0</v>
      </c>
    </row>
    <row r="194" customFormat="false" ht="15" hidden="false" customHeight="false" outlineLevel="0" collapsed="false">
      <c r="A194" s="34"/>
      <c r="B194" s="34"/>
      <c r="C194" s="34"/>
      <c r="D194" s="28" t="str">
        <f aca="false">IF(C194="","",IFERROR(INDEX(Mapping!$B$5:$B$40,MATCH(C194,Mapping!$A$5:$A$40,0)),"UNMAPPED"))</f>
        <v/>
      </c>
      <c r="E194" s="35"/>
      <c r="F194" s="35"/>
      <c r="G194" s="35"/>
      <c r="H194" s="35"/>
      <c r="I194" s="35"/>
      <c r="J194" s="35"/>
      <c r="K194" s="35"/>
      <c r="L194" s="35"/>
      <c r="M194" s="35"/>
      <c r="N194" s="35"/>
      <c r="O194" s="35"/>
      <c r="P194" s="35"/>
      <c r="Q194" s="35"/>
      <c r="R194" s="36" t="n">
        <f aca="false">IF(SUMPRODUCT(ABS(E194:Q194))=0,0,IF(OR(D194="IS",D194="BS"),0,1))</f>
        <v>0</v>
      </c>
    </row>
    <row r="195" customFormat="false" ht="15" hidden="false" customHeight="false" outlineLevel="0" collapsed="false">
      <c r="A195" s="34"/>
      <c r="B195" s="34"/>
      <c r="C195" s="34"/>
      <c r="D195" s="28" t="str">
        <f aca="false">IF(C195="","",IFERROR(INDEX(Mapping!$B$5:$B$40,MATCH(C195,Mapping!$A$5:$A$40,0)),"UNMAPPED"))</f>
        <v/>
      </c>
      <c r="E195" s="35"/>
      <c r="F195" s="35"/>
      <c r="G195" s="35"/>
      <c r="H195" s="35"/>
      <c r="I195" s="35"/>
      <c r="J195" s="35"/>
      <c r="K195" s="35"/>
      <c r="L195" s="35"/>
      <c r="M195" s="35"/>
      <c r="N195" s="35"/>
      <c r="O195" s="35"/>
      <c r="P195" s="35"/>
      <c r="Q195" s="35"/>
      <c r="R195" s="36" t="n">
        <f aca="false">IF(SUMPRODUCT(ABS(E195:Q195))=0,0,IF(OR(D195="IS",D195="BS"),0,1))</f>
        <v>0</v>
      </c>
    </row>
    <row r="196" customFormat="false" ht="15" hidden="false" customHeight="false" outlineLevel="0" collapsed="false">
      <c r="A196" s="34"/>
      <c r="B196" s="34"/>
      <c r="C196" s="34"/>
      <c r="D196" s="28" t="str">
        <f aca="false">IF(C196="","",IFERROR(INDEX(Mapping!$B$5:$B$40,MATCH(C196,Mapping!$A$5:$A$40,0)),"UNMAPPED"))</f>
        <v/>
      </c>
      <c r="E196" s="35"/>
      <c r="F196" s="35"/>
      <c r="G196" s="35"/>
      <c r="H196" s="35"/>
      <c r="I196" s="35"/>
      <c r="J196" s="35"/>
      <c r="K196" s="35"/>
      <c r="L196" s="35"/>
      <c r="M196" s="35"/>
      <c r="N196" s="35"/>
      <c r="O196" s="35"/>
      <c r="P196" s="35"/>
      <c r="Q196" s="35"/>
      <c r="R196" s="36" t="n">
        <f aca="false">IF(SUMPRODUCT(ABS(E196:Q196))=0,0,IF(OR(D196="IS",D196="BS"),0,1))</f>
        <v>0</v>
      </c>
    </row>
    <row r="197" customFormat="false" ht="15" hidden="false" customHeight="false" outlineLevel="0" collapsed="false">
      <c r="A197" s="34"/>
      <c r="B197" s="34"/>
      <c r="C197" s="34"/>
      <c r="D197" s="28" t="str">
        <f aca="false">IF(C197="","",IFERROR(INDEX(Mapping!$B$5:$B$40,MATCH(C197,Mapping!$A$5:$A$40,0)),"UNMAPPED"))</f>
        <v/>
      </c>
      <c r="E197" s="35"/>
      <c r="F197" s="35"/>
      <c r="G197" s="35"/>
      <c r="H197" s="35"/>
      <c r="I197" s="35"/>
      <c r="J197" s="35"/>
      <c r="K197" s="35"/>
      <c r="L197" s="35"/>
      <c r="M197" s="35"/>
      <c r="N197" s="35"/>
      <c r="O197" s="35"/>
      <c r="P197" s="35"/>
      <c r="Q197" s="35"/>
      <c r="R197" s="36" t="n">
        <f aca="false">IF(SUMPRODUCT(ABS(E197:Q197))=0,0,IF(OR(D197="IS",D197="BS"),0,1))</f>
        <v>0</v>
      </c>
    </row>
    <row r="198" customFormat="false" ht="15" hidden="false" customHeight="false" outlineLevel="0" collapsed="false">
      <c r="A198" s="34"/>
      <c r="B198" s="34"/>
      <c r="C198" s="34"/>
      <c r="D198" s="28" t="str">
        <f aca="false">IF(C198="","",IFERROR(INDEX(Mapping!$B$5:$B$40,MATCH(C198,Mapping!$A$5:$A$40,0)),"UNMAPPED"))</f>
        <v/>
      </c>
      <c r="E198" s="35"/>
      <c r="F198" s="35"/>
      <c r="G198" s="35"/>
      <c r="H198" s="35"/>
      <c r="I198" s="35"/>
      <c r="J198" s="35"/>
      <c r="K198" s="35"/>
      <c r="L198" s="35"/>
      <c r="M198" s="35"/>
      <c r="N198" s="35"/>
      <c r="O198" s="35"/>
      <c r="P198" s="35"/>
      <c r="Q198" s="35"/>
      <c r="R198" s="36" t="n">
        <f aca="false">IF(SUMPRODUCT(ABS(E198:Q198))=0,0,IF(OR(D198="IS",D198="BS"),0,1))</f>
        <v>0</v>
      </c>
    </row>
    <row r="199" customFormat="false" ht="15" hidden="false" customHeight="false" outlineLevel="0" collapsed="false">
      <c r="A199" s="34"/>
      <c r="B199" s="34"/>
      <c r="C199" s="34"/>
      <c r="D199" s="28" t="str">
        <f aca="false">IF(C199="","",IFERROR(INDEX(Mapping!$B$5:$B$40,MATCH(C199,Mapping!$A$5:$A$40,0)),"UNMAPPED"))</f>
        <v/>
      </c>
      <c r="E199" s="35"/>
      <c r="F199" s="35"/>
      <c r="G199" s="35"/>
      <c r="H199" s="35"/>
      <c r="I199" s="35"/>
      <c r="J199" s="35"/>
      <c r="K199" s="35"/>
      <c r="L199" s="35"/>
      <c r="M199" s="35"/>
      <c r="N199" s="35"/>
      <c r="O199" s="35"/>
      <c r="P199" s="35"/>
      <c r="Q199" s="35"/>
      <c r="R199" s="36" t="n">
        <f aca="false">IF(SUMPRODUCT(ABS(E199:Q199))=0,0,IF(OR(D199="IS",D199="BS"),0,1))</f>
        <v>0</v>
      </c>
    </row>
    <row r="200" customFormat="false" ht="15" hidden="false" customHeight="false" outlineLevel="0" collapsed="false">
      <c r="A200" s="34"/>
      <c r="B200" s="34"/>
      <c r="C200" s="34"/>
      <c r="D200" s="28" t="str">
        <f aca="false">IF(C200="","",IFERROR(INDEX(Mapping!$B$5:$B$40,MATCH(C200,Mapping!$A$5:$A$40,0)),"UNMAPPED"))</f>
        <v/>
      </c>
      <c r="E200" s="35"/>
      <c r="F200" s="35"/>
      <c r="G200" s="35"/>
      <c r="H200" s="35"/>
      <c r="I200" s="35"/>
      <c r="J200" s="35"/>
      <c r="K200" s="35"/>
      <c r="L200" s="35"/>
      <c r="M200" s="35"/>
      <c r="N200" s="35"/>
      <c r="O200" s="35"/>
      <c r="P200" s="35"/>
      <c r="Q200" s="35"/>
      <c r="R200" s="36" t="n">
        <f aca="false">IF(SUMPRODUCT(ABS(E200:Q200))=0,0,IF(OR(D200="IS",D200="BS"),0,1))</f>
        <v>0</v>
      </c>
    </row>
    <row r="201" customFormat="false" ht="15" hidden="false" customHeight="false" outlineLevel="0" collapsed="false">
      <c r="A201" s="34"/>
      <c r="B201" s="34"/>
      <c r="C201" s="34"/>
      <c r="D201" s="28" t="str">
        <f aca="false">IF(C201="","",IFERROR(INDEX(Mapping!$B$5:$B$40,MATCH(C201,Mapping!$A$5:$A$40,0)),"UNMAPPED"))</f>
        <v/>
      </c>
      <c r="E201" s="35"/>
      <c r="F201" s="35"/>
      <c r="G201" s="35"/>
      <c r="H201" s="35"/>
      <c r="I201" s="35"/>
      <c r="J201" s="35"/>
      <c r="K201" s="35"/>
      <c r="L201" s="35"/>
      <c r="M201" s="35"/>
      <c r="N201" s="35"/>
      <c r="O201" s="35"/>
      <c r="P201" s="35"/>
      <c r="Q201" s="35"/>
      <c r="R201" s="36" t="n">
        <f aca="false">IF(SUMPRODUCT(ABS(E201:Q201))=0,0,IF(OR(D201="IS",D201="BS"),0,1))</f>
        <v>0</v>
      </c>
    </row>
    <row r="202" customFormat="false" ht="15" hidden="false" customHeight="false" outlineLevel="0" collapsed="false">
      <c r="A202" s="34"/>
      <c r="B202" s="34"/>
      <c r="C202" s="34"/>
      <c r="D202" s="28" t="str">
        <f aca="false">IF(C202="","",IFERROR(INDEX(Mapping!$B$5:$B$40,MATCH(C202,Mapping!$A$5:$A$40,0)),"UNMAPPED"))</f>
        <v/>
      </c>
      <c r="E202" s="35"/>
      <c r="F202" s="35"/>
      <c r="G202" s="35"/>
      <c r="H202" s="35"/>
      <c r="I202" s="35"/>
      <c r="J202" s="35"/>
      <c r="K202" s="35"/>
      <c r="L202" s="35"/>
      <c r="M202" s="35"/>
      <c r="N202" s="35"/>
      <c r="O202" s="35"/>
      <c r="P202" s="35"/>
      <c r="Q202" s="35"/>
      <c r="R202" s="36" t="n">
        <f aca="false">IF(SUMPRODUCT(ABS(E202:Q202))=0,0,IF(OR(D202="IS",D202="BS"),0,1))</f>
        <v>0</v>
      </c>
    </row>
    <row r="203" customFormat="false" ht="15" hidden="false" customHeight="false" outlineLevel="0" collapsed="false">
      <c r="A203" s="34"/>
      <c r="B203" s="34"/>
      <c r="C203" s="34"/>
      <c r="D203" s="28" t="str">
        <f aca="false">IF(C203="","",IFERROR(INDEX(Mapping!$B$5:$B$40,MATCH(C203,Mapping!$A$5:$A$40,0)),"UNMAPPED"))</f>
        <v/>
      </c>
      <c r="E203" s="35"/>
      <c r="F203" s="35"/>
      <c r="G203" s="35"/>
      <c r="H203" s="35"/>
      <c r="I203" s="35"/>
      <c r="J203" s="35"/>
      <c r="K203" s="35"/>
      <c r="L203" s="35"/>
      <c r="M203" s="35"/>
      <c r="N203" s="35"/>
      <c r="O203" s="35"/>
      <c r="P203" s="35"/>
      <c r="Q203" s="35"/>
      <c r="R203" s="36" t="n">
        <f aca="false">IF(SUMPRODUCT(ABS(E203:Q203))=0,0,IF(OR(D203="IS",D203="BS"),0,1))</f>
        <v>0</v>
      </c>
    </row>
    <row r="204" customFormat="false" ht="15" hidden="false" customHeight="false" outlineLevel="0" collapsed="false">
      <c r="A204" s="34"/>
      <c r="B204" s="34"/>
      <c r="C204" s="34"/>
      <c r="D204" s="28" t="str">
        <f aca="false">IF(C204="","",IFERROR(INDEX(Mapping!$B$5:$B$40,MATCH(C204,Mapping!$A$5:$A$40,0)),"UNMAPPED"))</f>
        <v/>
      </c>
      <c r="E204" s="35"/>
      <c r="F204" s="35"/>
      <c r="G204" s="35"/>
      <c r="H204" s="35"/>
      <c r="I204" s="35"/>
      <c r="J204" s="35"/>
      <c r="K204" s="35"/>
      <c r="L204" s="35"/>
      <c r="M204" s="35"/>
      <c r="N204" s="35"/>
      <c r="O204" s="35"/>
      <c r="P204" s="35"/>
      <c r="Q204" s="35"/>
      <c r="R204" s="36" t="n">
        <f aca="false">IF(SUMPRODUCT(ABS(E204:Q204))=0,0,IF(OR(D204="IS",D204="BS"),0,1))</f>
        <v>0</v>
      </c>
    </row>
    <row r="205" customFormat="false" ht="15" hidden="false" customHeight="false" outlineLevel="0" collapsed="false">
      <c r="A205" s="34"/>
      <c r="B205" s="34"/>
      <c r="C205" s="34"/>
      <c r="D205" s="28" t="str">
        <f aca="false">IF(C205="","",IFERROR(INDEX(Mapping!$B$5:$B$40,MATCH(C205,Mapping!$A$5:$A$40,0)),"UNMAPPED"))</f>
        <v/>
      </c>
      <c r="E205" s="35"/>
      <c r="F205" s="35"/>
      <c r="G205" s="35"/>
      <c r="H205" s="35"/>
      <c r="I205" s="35"/>
      <c r="J205" s="35"/>
      <c r="K205" s="35"/>
      <c r="L205" s="35"/>
      <c r="M205" s="35"/>
      <c r="N205" s="35"/>
      <c r="O205" s="35"/>
      <c r="P205" s="35"/>
      <c r="Q205" s="35"/>
      <c r="R205" s="36" t="n">
        <f aca="false">IF(SUMPRODUCT(ABS(E205:Q205))=0,0,IF(OR(D205="IS",D205="BS"),0,1))</f>
        <v>0</v>
      </c>
    </row>
    <row r="206" customFormat="false" ht="15" hidden="false" customHeight="false" outlineLevel="0" collapsed="false">
      <c r="A206" s="34"/>
      <c r="B206" s="34"/>
      <c r="C206" s="34"/>
      <c r="D206" s="28" t="str">
        <f aca="false">IF(C206="","",IFERROR(INDEX(Mapping!$B$5:$B$40,MATCH(C206,Mapping!$A$5:$A$40,0)),"UNMAPPED"))</f>
        <v/>
      </c>
      <c r="E206" s="35"/>
      <c r="F206" s="35"/>
      <c r="G206" s="35"/>
      <c r="H206" s="35"/>
      <c r="I206" s="35"/>
      <c r="J206" s="35"/>
      <c r="K206" s="35"/>
      <c r="L206" s="35"/>
      <c r="M206" s="35"/>
      <c r="N206" s="35"/>
      <c r="O206" s="35"/>
      <c r="P206" s="35"/>
      <c r="Q206" s="35"/>
      <c r="R206" s="36" t="n">
        <f aca="false">IF(SUMPRODUCT(ABS(E206:Q206))=0,0,IF(OR(D206="IS",D206="BS"),0,1))</f>
        <v>0</v>
      </c>
    </row>
    <row r="207" customFormat="false" ht="15" hidden="false" customHeight="false" outlineLevel="0" collapsed="false">
      <c r="A207" s="34"/>
      <c r="B207" s="34"/>
      <c r="C207" s="34"/>
      <c r="D207" s="28" t="str">
        <f aca="false">IF(C207="","",IFERROR(INDEX(Mapping!$B$5:$B$40,MATCH(C207,Mapping!$A$5:$A$40,0)),"UNMAPPED"))</f>
        <v/>
      </c>
      <c r="E207" s="35"/>
      <c r="F207" s="35"/>
      <c r="G207" s="35"/>
      <c r="H207" s="35"/>
      <c r="I207" s="35"/>
      <c r="J207" s="35"/>
      <c r="K207" s="35"/>
      <c r="L207" s="35"/>
      <c r="M207" s="35"/>
      <c r="N207" s="35"/>
      <c r="O207" s="35"/>
      <c r="P207" s="35"/>
      <c r="Q207" s="35"/>
      <c r="R207" s="36" t="n">
        <f aca="false">IF(SUMPRODUCT(ABS(E207:Q207))=0,0,IF(OR(D207="IS",D207="BS"),0,1))</f>
        <v>0</v>
      </c>
    </row>
    <row r="208" customFormat="false" ht="15" hidden="false" customHeight="false" outlineLevel="0" collapsed="false">
      <c r="A208" s="34"/>
      <c r="B208" s="34"/>
      <c r="C208" s="34"/>
      <c r="D208" s="28" t="str">
        <f aca="false">IF(C208="","",IFERROR(INDEX(Mapping!$B$5:$B$40,MATCH(C208,Mapping!$A$5:$A$40,0)),"UNMAPPED"))</f>
        <v/>
      </c>
      <c r="E208" s="35"/>
      <c r="F208" s="35"/>
      <c r="G208" s="35"/>
      <c r="H208" s="35"/>
      <c r="I208" s="35"/>
      <c r="J208" s="35"/>
      <c r="K208" s="35"/>
      <c r="L208" s="35"/>
      <c r="M208" s="35"/>
      <c r="N208" s="35"/>
      <c r="O208" s="35"/>
      <c r="P208" s="35"/>
      <c r="Q208" s="35"/>
      <c r="R208" s="36" t="n">
        <f aca="false">IF(SUMPRODUCT(ABS(E208:Q208))=0,0,IF(OR(D208="IS",D208="BS"),0,1))</f>
        <v>0</v>
      </c>
    </row>
    <row r="209" customFormat="false" ht="15" hidden="false" customHeight="false" outlineLevel="0" collapsed="false">
      <c r="A209" s="34"/>
      <c r="B209" s="34"/>
      <c r="C209" s="34"/>
      <c r="D209" s="28" t="str">
        <f aca="false">IF(C209="","",IFERROR(INDEX(Mapping!$B$5:$B$40,MATCH(C209,Mapping!$A$5:$A$40,0)),"UNMAPPED"))</f>
        <v/>
      </c>
      <c r="E209" s="35"/>
      <c r="F209" s="35"/>
      <c r="G209" s="35"/>
      <c r="H209" s="35"/>
      <c r="I209" s="35"/>
      <c r="J209" s="35"/>
      <c r="K209" s="35"/>
      <c r="L209" s="35"/>
      <c r="M209" s="35"/>
      <c r="N209" s="35"/>
      <c r="O209" s="35"/>
      <c r="P209" s="35"/>
      <c r="Q209" s="35"/>
      <c r="R209" s="36" t="n">
        <f aca="false">IF(SUMPRODUCT(ABS(E209:Q209))=0,0,IF(OR(D209="IS",D209="BS"),0,1))</f>
        <v>0</v>
      </c>
    </row>
    <row r="210" customFormat="false" ht="15" hidden="false" customHeight="false" outlineLevel="0" collapsed="false">
      <c r="A210" s="34"/>
      <c r="B210" s="34"/>
      <c r="C210" s="34"/>
      <c r="D210" s="28" t="str">
        <f aca="false">IF(C210="","",IFERROR(INDEX(Mapping!$B$5:$B$40,MATCH(C210,Mapping!$A$5:$A$40,0)),"UNMAPPED"))</f>
        <v/>
      </c>
      <c r="E210" s="35"/>
      <c r="F210" s="35"/>
      <c r="G210" s="35"/>
      <c r="H210" s="35"/>
      <c r="I210" s="35"/>
      <c r="J210" s="35"/>
      <c r="K210" s="35"/>
      <c r="L210" s="35"/>
      <c r="M210" s="35"/>
      <c r="N210" s="35"/>
      <c r="O210" s="35"/>
      <c r="P210" s="35"/>
      <c r="Q210" s="35"/>
      <c r="R210" s="36" t="n">
        <f aca="false">IF(SUMPRODUCT(ABS(E210:Q210))=0,0,IF(OR(D210="IS",D210="BS"),0,1))</f>
        <v>0</v>
      </c>
    </row>
    <row r="211" customFormat="false" ht="15" hidden="false" customHeight="false" outlineLevel="0" collapsed="false">
      <c r="A211" s="34"/>
      <c r="B211" s="34"/>
      <c r="C211" s="34"/>
      <c r="D211" s="28" t="str">
        <f aca="false">IF(C211="","",IFERROR(INDEX(Mapping!$B$5:$B$40,MATCH(C211,Mapping!$A$5:$A$40,0)),"UNMAPPED"))</f>
        <v/>
      </c>
      <c r="E211" s="35"/>
      <c r="F211" s="35"/>
      <c r="G211" s="35"/>
      <c r="H211" s="35"/>
      <c r="I211" s="35"/>
      <c r="J211" s="35"/>
      <c r="K211" s="35"/>
      <c r="L211" s="35"/>
      <c r="M211" s="35"/>
      <c r="N211" s="35"/>
      <c r="O211" s="35"/>
      <c r="P211" s="35"/>
      <c r="Q211" s="35"/>
      <c r="R211" s="36" t="n">
        <f aca="false">IF(SUMPRODUCT(ABS(E211:Q211))=0,0,IF(OR(D211="IS",D211="BS"),0,1))</f>
        <v>0</v>
      </c>
    </row>
    <row r="212" customFormat="false" ht="15" hidden="false" customHeight="false" outlineLevel="0" collapsed="false">
      <c r="A212" s="34"/>
      <c r="B212" s="34"/>
      <c r="C212" s="34"/>
      <c r="D212" s="28" t="str">
        <f aca="false">IF(C212="","",IFERROR(INDEX(Mapping!$B$5:$B$40,MATCH(C212,Mapping!$A$5:$A$40,0)),"UNMAPPED"))</f>
        <v/>
      </c>
      <c r="E212" s="35"/>
      <c r="F212" s="35"/>
      <c r="G212" s="35"/>
      <c r="H212" s="35"/>
      <c r="I212" s="35"/>
      <c r="J212" s="35"/>
      <c r="K212" s="35"/>
      <c r="L212" s="35"/>
      <c r="M212" s="35"/>
      <c r="N212" s="35"/>
      <c r="O212" s="35"/>
      <c r="P212" s="35"/>
      <c r="Q212" s="35"/>
      <c r="R212" s="36" t="n">
        <f aca="false">IF(SUMPRODUCT(ABS(E212:Q212))=0,0,IF(OR(D212="IS",D212="BS"),0,1))</f>
        <v>0</v>
      </c>
    </row>
    <row r="213" customFormat="false" ht="15" hidden="false" customHeight="false" outlineLevel="0" collapsed="false">
      <c r="A213" s="34"/>
      <c r="B213" s="34"/>
      <c r="C213" s="34"/>
      <c r="D213" s="28" t="str">
        <f aca="false">IF(C213="","",IFERROR(INDEX(Mapping!$B$5:$B$40,MATCH(C213,Mapping!$A$5:$A$40,0)),"UNMAPPED"))</f>
        <v/>
      </c>
      <c r="E213" s="35"/>
      <c r="F213" s="35"/>
      <c r="G213" s="35"/>
      <c r="H213" s="35"/>
      <c r="I213" s="35"/>
      <c r="J213" s="35"/>
      <c r="K213" s="35"/>
      <c r="L213" s="35"/>
      <c r="M213" s="35"/>
      <c r="N213" s="35"/>
      <c r="O213" s="35"/>
      <c r="P213" s="35"/>
      <c r="Q213" s="35"/>
      <c r="R213" s="36" t="n">
        <f aca="false">IF(SUMPRODUCT(ABS(E213:Q213))=0,0,IF(OR(D213="IS",D213="BS"),0,1))</f>
        <v>0</v>
      </c>
    </row>
    <row r="214" customFormat="false" ht="15" hidden="false" customHeight="false" outlineLevel="0" collapsed="false">
      <c r="A214" s="34"/>
      <c r="B214" s="34"/>
      <c r="C214" s="34"/>
      <c r="D214" s="28" t="str">
        <f aca="false">IF(C214="","",IFERROR(INDEX(Mapping!$B$5:$B$40,MATCH(C214,Mapping!$A$5:$A$40,0)),"UNMAPPED"))</f>
        <v/>
      </c>
      <c r="E214" s="35"/>
      <c r="F214" s="35"/>
      <c r="G214" s="35"/>
      <c r="H214" s="35"/>
      <c r="I214" s="35"/>
      <c r="J214" s="35"/>
      <c r="K214" s="35"/>
      <c r="L214" s="35"/>
      <c r="M214" s="35"/>
      <c r="N214" s="35"/>
      <c r="O214" s="35"/>
      <c r="P214" s="35"/>
      <c r="Q214" s="35"/>
      <c r="R214" s="36" t="n">
        <f aca="false">IF(SUMPRODUCT(ABS(E214:Q214))=0,0,IF(OR(D214="IS",D214="BS"),0,1))</f>
        <v>0</v>
      </c>
    </row>
    <row r="215" customFormat="false" ht="15" hidden="false" customHeight="false" outlineLevel="0" collapsed="false">
      <c r="A215" s="34"/>
      <c r="B215" s="34"/>
      <c r="C215" s="34"/>
      <c r="D215" s="28" t="str">
        <f aca="false">IF(C215="","",IFERROR(INDEX(Mapping!$B$5:$B$40,MATCH(C215,Mapping!$A$5:$A$40,0)),"UNMAPPED"))</f>
        <v/>
      </c>
      <c r="E215" s="35"/>
      <c r="F215" s="35"/>
      <c r="G215" s="35"/>
      <c r="H215" s="35"/>
      <c r="I215" s="35"/>
      <c r="J215" s="35"/>
      <c r="K215" s="35"/>
      <c r="L215" s="35"/>
      <c r="M215" s="35"/>
      <c r="N215" s="35"/>
      <c r="O215" s="35"/>
      <c r="P215" s="35"/>
      <c r="Q215" s="35"/>
      <c r="R215" s="36" t="n">
        <f aca="false">IF(SUMPRODUCT(ABS(E215:Q215))=0,0,IF(OR(D215="IS",D215="BS"),0,1))</f>
        <v>0</v>
      </c>
    </row>
    <row r="216" customFormat="false" ht="15" hidden="false" customHeight="false" outlineLevel="0" collapsed="false">
      <c r="A216" s="34"/>
      <c r="B216" s="34"/>
      <c r="C216" s="34"/>
      <c r="D216" s="28" t="str">
        <f aca="false">IF(C216="","",IFERROR(INDEX(Mapping!$B$5:$B$40,MATCH(C216,Mapping!$A$5:$A$40,0)),"UNMAPPED"))</f>
        <v/>
      </c>
      <c r="E216" s="35"/>
      <c r="F216" s="35"/>
      <c r="G216" s="35"/>
      <c r="H216" s="35"/>
      <c r="I216" s="35"/>
      <c r="J216" s="35"/>
      <c r="K216" s="35"/>
      <c r="L216" s="35"/>
      <c r="M216" s="35"/>
      <c r="N216" s="35"/>
      <c r="O216" s="35"/>
      <c r="P216" s="35"/>
      <c r="Q216" s="35"/>
      <c r="R216" s="36" t="n">
        <f aca="false">IF(SUMPRODUCT(ABS(E216:Q216))=0,0,IF(OR(D216="IS",D216="BS"),0,1))</f>
        <v>0</v>
      </c>
    </row>
    <row r="217" customFormat="false" ht="15" hidden="false" customHeight="false" outlineLevel="0" collapsed="false">
      <c r="A217" s="34"/>
      <c r="B217" s="34"/>
      <c r="C217" s="34"/>
      <c r="D217" s="28" t="str">
        <f aca="false">IF(C217="","",IFERROR(INDEX(Mapping!$B$5:$B$40,MATCH(C217,Mapping!$A$5:$A$40,0)),"UNMAPPED"))</f>
        <v/>
      </c>
      <c r="E217" s="35"/>
      <c r="F217" s="35"/>
      <c r="G217" s="35"/>
      <c r="H217" s="35"/>
      <c r="I217" s="35"/>
      <c r="J217" s="35"/>
      <c r="K217" s="35"/>
      <c r="L217" s="35"/>
      <c r="M217" s="35"/>
      <c r="N217" s="35"/>
      <c r="O217" s="35"/>
      <c r="P217" s="35"/>
      <c r="Q217" s="35"/>
      <c r="R217" s="36" t="n">
        <f aca="false">IF(SUMPRODUCT(ABS(E217:Q217))=0,0,IF(OR(D217="IS",D217="BS"),0,1))</f>
        <v>0</v>
      </c>
    </row>
    <row r="218" customFormat="false" ht="15" hidden="false" customHeight="false" outlineLevel="0" collapsed="false">
      <c r="A218" s="34"/>
      <c r="B218" s="34"/>
      <c r="C218" s="34"/>
      <c r="D218" s="28" t="str">
        <f aca="false">IF(C218="","",IFERROR(INDEX(Mapping!$B$5:$B$40,MATCH(C218,Mapping!$A$5:$A$40,0)),"UNMAPPED"))</f>
        <v/>
      </c>
      <c r="E218" s="35"/>
      <c r="F218" s="35"/>
      <c r="G218" s="35"/>
      <c r="H218" s="35"/>
      <c r="I218" s="35"/>
      <c r="J218" s="35"/>
      <c r="K218" s="35"/>
      <c r="L218" s="35"/>
      <c r="M218" s="35"/>
      <c r="N218" s="35"/>
      <c r="O218" s="35"/>
      <c r="P218" s="35"/>
      <c r="Q218" s="35"/>
      <c r="R218" s="36" t="n">
        <f aca="false">IF(SUMPRODUCT(ABS(E218:Q218))=0,0,IF(OR(D218="IS",D218="BS"),0,1))</f>
        <v>0</v>
      </c>
    </row>
    <row r="219" customFormat="false" ht="15" hidden="false" customHeight="false" outlineLevel="0" collapsed="false">
      <c r="A219" s="34"/>
      <c r="B219" s="34"/>
      <c r="C219" s="34"/>
      <c r="D219" s="28" t="str">
        <f aca="false">IF(C219="","",IFERROR(INDEX(Mapping!$B$5:$B$40,MATCH(C219,Mapping!$A$5:$A$40,0)),"UNMAPPED"))</f>
        <v/>
      </c>
      <c r="E219" s="35"/>
      <c r="F219" s="35"/>
      <c r="G219" s="35"/>
      <c r="H219" s="35"/>
      <c r="I219" s="35"/>
      <c r="J219" s="35"/>
      <c r="K219" s="35"/>
      <c r="L219" s="35"/>
      <c r="M219" s="35"/>
      <c r="N219" s="35"/>
      <c r="O219" s="35"/>
      <c r="P219" s="35"/>
      <c r="Q219" s="35"/>
      <c r="R219" s="36" t="n">
        <f aca="false">IF(SUMPRODUCT(ABS(E219:Q219))=0,0,IF(OR(D219="IS",D219="BS"),0,1))</f>
        <v>0</v>
      </c>
    </row>
    <row r="220" customFormat="false" ht="15" hidden="false" customHeight="false" outlineLevel="0" collapsed="false">
      <c r="A220" s="34"/>
      <c r="B220" s="34"/>
      <c r="C220" s="34"/>
      <c r="D220" s="28" t="str">
        <f aca="false">IF(C220="","",IFERROR(INDEX(Mapping!$B$5:$B$40,MATCH(C220,Mapping!$A$5:$A$40,0)),"UNMAPPED"))</f>
        <v/>
      </c>
      <c r="E220" s="35"/>
      <c r="F220" s="35"/>
      <c r="G220" s="35"/>
      <c r="H220" s="35"/>
      <c r="I220" s="35"/>
      <c r="J220" s="35"/>
      <c r="K220" s="35"/>
      <c r="L220" s="35"/>
      <c r="M220" s="35"/>
      <c r="N220" s="35"/>
      <c r="O220" s="35"/>
      <c r="P220" s="35"/>
      <c r="Q220" s="35"/>
      <c r="R220" s="36" t="n">
        <f aca="false">IF(SUMPRODUCT(ABS(E220:Q220))=0,0,IF(OR(D220="IS",D220="BS"),0,1))</f>
        <v>0</v>
      </c>
    </row>
    <row r="221" customFormat="false" ht="15" hidden="false" customHeight="false" outlineLevel="0" collapsed="false">
      <c r="A221" s="34"/>
      <c r="B221" s="34"/>
      <c r="C221" s="34"/>
      <c r="D221" s="28" t="str">
        <f aca="false">IF(C221="","",IFERROR(INDEX(Mapping!$B$5:$B$40,MATCH(C221,Mapping!$A$5:$A$40,0)),"UNMAPPED"))</f>
        <v/>
      </c>
      <c r="E221" s="35"/>
      <c r="F221" s="35"/>
      <c r="G221" s="35"/>
      <c r="H221" s="35"/>
      <c r="I221" s="35"/>
      <c r="J221" s="35"/>
      <c r="K221" s="35"/>
      <c r="L221" s="35"/>
      <c r="M221" s="35"/>
      <c r="N221" s="35"/>
      <c r="O221" s="35"/>
      <c r="P221" s="35"/>
      <c r="Q221" s="35"/>
      <c r="R221" s="36" t="n">
        <f aca="false">IF(SUMPRODUCT(ABS(E221:Q221))=0,0,IF(OR(D221="IS",D221="BS"),0,1))</f>
        <v>0</v>
      </c>
    </row>
    <row r="222" customFormat="false" ht="15" hidden="false" customHeight="false" outlineLevel="0" collapsed="false">
      <c r="A222" s="34"/>
      <c r="B222" s="34"/>
      <c r="C222" s="34"/>
      <c r="D222" s="28" t="str">
        <f aca="false">IF(C222="","",IFERROR(INDEX(Mapping!$B$5:$B$40,MATCH(C222,Mapping!$A$5:$A$40,0)),"UNMAPPED"))</f>
        <v/>
      </c>
      <c r="E222" s="35"/>
      <c r="F222" s="35"/>
      <c r="G222" s="35"/>
      <c r="H222" s="35"/>
      <c r="I222" s="35"/>
      <c r="J222" s="35"/>
      <c r="K222" s="35"/>
      <c r="L222" s="35"/>
      <c r="M222" s="35"/>
      <c r="N222" s="35"/>
      <c r="O222" s="35"/>
      <c r="P222" s="35"/>
      <c r="Q222" s="35"/>
      <c r="R222" s="36" t="n">
        <f aca="false">IF(SUMPRODUCT(ABS(E222:Q222))=0,0,IF(OR(D222="IS",D222="BS"),0,1))</f>
        <v>0</v>
      </c>
    </row>
    <row r="223" customFormat="false" ht="15" hidden="false" customHeight="false" outlineLevel="0" collapsed="false">
      <c r="A223" s="34"/>
      <c r="B223" s="34"/>
      <c r="C223" s="34"/>
      <c r="D223" s="28" t="str">
        <f aca="false">IF(C223="","",IFERROR(INDEX(Mapping!$B$5:$B$40,MATCH(C223,Mapping!$A$5:$A$40,0)),"UNMAPPED"))</f>
        <v/>
      </c>
      <c r="E223" s="35"/>
      <c r="F223" s="35"/>
      <c r="G223" s="35"/>
      <c r="H223" s="35"/>
      <c r="I223" s="35"/>
      <c r="J223" s="35"/>
      <c r="K223" s="35"/>
      <c r="L223" s="35"/>
      <c r="M223" s="35"/>
      <c r="N223" s="35"/>
      <c r="O223" s="35"/>
      <c r="P223" s="35"/>
      <c r="Q223" s="35"/>
      <c r="R223" s="36" t="n">
        <f aca="false">IF(SUMPRODUCT(ABS(E223:Q223))=0,0,IF(OR(D223="IS",D223="BS"),0,1))</f>
        <v>0</v>
      </c>
    </row>
    <row r="224" customFormat="false" ht="15" hidden="false" customHeight="false" outlineLevel="0" collapsed="false">
      <c r="A224" s="34"/>
      <c r="B224" s="34"/>
      <c r="C224" s="34"/>
      <c r="D224" s="28" t="str">
        <f aca="false">IF(C224="","",IFERROR(INDEX(Mapping!$B$5:$B$40,MATCH(C224,Mapping!$A$5:$A$40,0)),"UNMAPPED"))</f>
        <v/>
      </c>
      <c r="E224" s="35"/>
      <c r="F224" s="35"/>
      <c r="G224" s="35"/>
      <c r="H224" s="35"/>
      <c r="I224" s="35"/>
      <c r="J224" s="35"/>
      <c r="K224" s="35"/>
      <c r="L224" s="35"/>
      <c r="M224" s="35"/>
      <c r="N224" s="35"/>
      <c r="O224" s="35"/>
      <c r="P224" s="35"/>
      <c r="Q224" s="35"/>
      <c r="R224" s="36" t="n">
        <f aca="false">IF(SUMPRODUCT(ABS(E224:Q224))=0,0,IF(OR(D224="IS",D224="BS"),0,1))</f>
        <v>0</v>
      </c>
    </row>
    <row r="225" customFormat="false" ht="15" hidden="false" customHeight="false" outlineLevel="0" collapsed="false">
      <c r="A225" s="34"/>
      <c r="B225" s="34"/>
      <c r="C225" s="34"/>
      <c r="D225" s="28" t="str">
        <f aca="false">IF(C225="","",IFERROR(INDEX(Mapping!$B$5:$B$40,MATCH(C225,Mapping!$A$5:$A$40,0)),"UNMAPPED"))</f>
        <v/>
      </c>
      <c r="E225" s="35"/>
      <c r="F225" s="35"/>
      <c r="G225" s="35"/>
      <c r="H225" s="35"/>
      <c r="I225" s="35"/>
      <c r="J225" s="35"/>
      <c r="K225" s="35"/>
      <c r="L225" s="35"/>
      <c r="M225" s="35"/>
      <c r="N225" s="35"/>
      <c r="O225" s="35"/>
      <c r="P225" s="35"/>
      <c r="Q225" s="35"/>
      <c r="R225" s="36" t="n">
        <f aca="false">IF(SUMPRODUCT(ABS(E225:Q225))=0,0,IF(OR(D225="IS",D225="BS"),0,1))</f>
        <v>0</v>
      </c>
    </row>
    <row r="226" customFormat="false" ht="15" hidden="false" customHeight="false" outlineLevel="0" collapsed="false">
      <c r="A226" s="34"/>
      <c r="B226" s="34"/>
      <c r="C226" s="34"/>
      <c r="D226" s="28" t="str">
        <f aca="false">IF(C226="","",IFERROR(INDEX(Mapping!$B$5:$B$40,MATCH(C226,Mapping!$A$5:$A$40,0)),"UNMAPPED"))</f>
        <v/>
      </c>
      <c r="E226" s="35"/>
      <c r="F226" s="35"/>
      <c r="G226" s="35"/>
      <c r="H226" s="35"/>
      <c r="I226" s="35"/>
      <c r="J226" s="35"/>
      <c r="K226" s="35"/>
      <c r="L226" s="35"/>
      <c r="M226" s="35"/>
      <c r="N226" s="35"/>
      <c r="O226" s="35"/>
      <c r="P226" s="35"/>
      <c r="Q226" s="35"/>
      <c r="R226" s="36" t="n">
        <f aca="false">IF(SUMPRODUCT(ABS(E226:Q226))=0,0,IF(OR(D226="IS",D226="BS"),0,1))</f>
        <v>0</v>
      </c>
    </row>
    <row r="227" customFormat="false" ht="15" hidden="false" customHeight="false" outlineLevel="0" collapsed="false">
      <c r="A227" s="34"/>
      <c r="B227" s="34"/>
      <c r="C227" s="34"/>
      <c r="D227" s="28" t="str">
        <f aca="false">IF(C227="","",IFERROR(INDEX(Mapping!$B$5:$B$40,MATCH(C227,Mapping!$A$5:$A$40,0)),"UNMAPPED"))</f>
        <v/>
      </c>
      <c r="E227" s="35"/>
      <c r="F227" s="35"/>
      <c r="G227" s="35"/>
      <c r="H227" s="35"/>
      <c r="I227" s="35"/>
      <c r="J227" s="35"/>
      <c r="K227" s="35"/>
      <c r="L227" s="35"/>
      <c r="M227" s="35"/>
      <c r="N227" s="35"/>
      <c r="O227" s="35"/>
      <c r="P227" s="35"/>
      <c r="Q227" s="35"/>
      <c r="R227" s="36" t="n">
        <f aca="false">IF(SUMPRODUCT(ABS(E227:Q227))=0,0,IF(OR(D227="IS",D227="BS"),0,1))</f>
        <v>0</v>
      </c>
    </row>
    <row r="228" customFormat="false" ht="15" hidden="false" customHeight="false" outlineLevel="0" collapsed="false">
      <c r="A228" s="34"/>
      <c r="B228" s="34"/>
      <c r="C228" s="34"/>
      <c r="D228" s="28" t="str">
        <f aca="false">IF(C228="","",IFERROR(INDEX(Mapping!$B$5:$B$40,MATCH(C228,Mapping!$A$5:$A$40,0)),"UNMAPPED"))</f>
        <v/>
      </c>
      <c r="E228" s="35"/>
      <c r="F228" s="35"/>
      <c r="G228" s="35"/>
      <c r="H228" s="35"/>
      <c r="I228" s="35"/>
      <c r="J228" s="35"/>
      <c r="K228" s="35"/>
      <c r="L228" s="35"/>
      <c r="M228" s="35"/>
      <c r="N228" s="35"/>
      <c r="O228" s="35"/>
      <c r="P228" s="35"/>
      <c r="Q228" s="35"/>
      <c r="R228" s="36" t="n">
        <f aca="false">IF(SUMPRODUCT(ABS(E228:Q228))=0,0,IF(OR(D228="IS",D228="BS"),0,1))</f>
        <v>0</v>
      </c>
    </row>
    <row r="229" customFormat="false" ht="15" hidden="false" customHeight="false" outlineLevel="0" collapsed="false">
      <c r="A229" s="34"/>
      <c r="B229" s="34"/>
      <c r="C229" s="34"/>
      <c r="D229" s="28" t="str">
        <f aca="false">IF(C229="","",IFERROR(INDEX(Mapping!$B$5:$B$40,MATCH(C229,Mapping!$A$5:$A$40,0)),"UNMAPPED"))</f>
        <v/>
      </c>
      <c r="E229" s="35"/>
      <c r="F229" s="35"/>
      <c r="G229" s="35"/>
      <c r="H229" s="35"/>
      <c r="I229" s="35"/>
      <c r="J229" s="35"/>
      <c r="K229" s="35"/>
      <c r="L229" s="35"/>
      <c r="M229" s="35"/>
      <c r="N229" s="35"/>
      <c r="O229" s="35"/>
      <c r="P229" s="35"/>
      <c r="Q229" s="35"/>
      <c r="R229" s="36" t="n">
        <f aca="false">IF(SUMPRODUCT(ABS(E229:Q229))=0,0,IF(OR(D229="IS",D229="BS"),0,1))</f>
        <v>0</v>
      </c>
    </row>
    <row r="230" customFormat="false" ht="15" hidden="false" customHeight="false" outlineLevel="0" collapsed="false">
      <c r="A230" s="34"/>
      <c r="B230" s="34"/>
      <c r="C230" s="34"/>
      <c r="D230" s="28" t="str">
        <f aca="false">IF(C230="","",IFERROR(INDEX(Mapping!$B$5:$B$40,MATCH(C230,Mapping!$A$5:$A$40,0)),"UNMAPPED"))</f>
        <v/>
      </c>
      <c r="E230" s="35"/>
      <c r="F230" s="35"/>
      <c r="G230" s="35"/>
      <c r="H230" s="35"/>
      <c r="I230" s="35"/>
      <c r="J230" s="35"/>
      <c r="K230" s="35"/>
      <c r="L230" s="35"/>
      <c r="M230" s="35"/>
      <c r="N230" s="35"/>
      <c r="O230" s="35"/>
      <c r="P230" s="35"/>
      <c r="Q230" s="35"/>
      <c r="R230" s="36" t="n">
        <f aca="false">IF(SUMPRODUCT(ABS(E230:Q230))=0,0,IF(OR(D230="IS",D230="BS"),0,1))</f>
        <v>0</v>
      </c>
    </row>
    <row r="231" customFormat="false" ht="15" hidden="false" customHeight="false" outlineLevel="0" collapsed="false">
      <c r="A231" s="34"/>
      <c r="B231" s="34"/>
      <c r="C231" s="34"/>
      <c r="D231" s="28" t="str">
        <f aca="false">IF(C231="","",IFERROR(INDEX(Mapping!$B$5:$B$40,MATCH(C231,Mapping!$A$5:$A$40,0)),"UNMAPPED"))</f>
        <v/>
      </c>
      <c r="E231" s="35"/>
      <c r="F231" s="35"/>
      <c r="G231" s="35"/>
      <c r="H231" s="35"/>
      <c r="I231" s="35"/>
      <c r="J231" s="35"/>
      <c r="K231" s="35"/>
      <c r="L231" s="35"/>
      <c r="M231" s="35"/>
      <c r="N231" s="35"/>
      <c r="O231" s="35"/>
      <c r="P231" s="35"/>
      <c r="Q231" s="35"/>
      <c r="R231" s="36" t="n">
        <f aca="false">IF(SUMPRODUCT(ABS(E231:Q231))=0,0,IF(OR(D231="IS",D231="BS"),0,1))</f>
        <v>0</v>
      </c>
    </row>
    <row r="232" customFormat="false" ht="15" hidden="false" customHeight="false" outlineLevel="0" collapsed="false">
      <c r="A232" s="34"/>
      <c r="B232" s="34"/>
      <c r="C232" s="34"/>
      <c r="D232" s="28" t="str">
        <f aca="false">IF(C232="","",IFERROR(INDEX(Mapping!$B$5:$B$40,MATCH(C232,Mapping!$A$5:$A$40,0)),"UNMAPPED"))</f>
        <v/>
      </c>
      <c r="E232" s="35"/>
      <c r="F232" s="35"/>
      <c r="G232" s="35"/>
      <c r="H232" s="35"/>
      <c r="I232" s="35"/>
      <c r="J232" s="35"/>
      <c r="K232" s="35"/>
      <c r="L232" s="35"/>
      <c r="M232" s="35"/>
      <c r="N232" s="35"/>
      <c r="O232" s="35"/>
      <c r="P232" s="35"/>
      <c r="Q232" s="35"/>
      <c r="R232" s="36" t="n">
        <f aca="false">IF(SUMPRODUCT(ABS(E232:Q232))=0,0,IF(OR(D232="IS",D232="BS"),0,1))</f>
        <v>0</v>
      </c>
    </row>
    <row r="233" customFormat="false" ht="15" hidden="false" customHeight="false" outlineLevel="0" collapsed="false">
      <c r="A233" s="34"/>
      <c r="B233" s="34"/>
      <c r="C233" s="34"/>
      <c r="D233" s="28" t="str">
        <f aca="false">IF(C233="","",IFERROR(INDEX(Mapping!$B$5:$B$40,MATCH(C233,Mapping!$A$5:$A$40,0)),"UNMAPPED"))</f>
        <v/>
      </c>
      <c r="E233" s="35"/>
      <c r="F233" s="35"/>
      <c r="G233" s="35"/>
      <c r="H233" s="35"/>
      <c r="I233" s="35"/>
      <c r="J233" s="35"/>
      <c r="K233" s="35"/>
      <c r="L233" s="35"/>
      <c r="M233" s="35"/>
      <c r="N233" s="35"/>
      <c r="O233" s="35"/>
      <c r="P233" s="35"/>
      <c r="Q233" s="35"/>
      <c r="R233" s="36" t="n">
        <f aca="false">IF(SUMPRODUCT(ABS(E233:Q233))=0,0,IF(OR(D233="IS",D233="BS"),0,1))</f>
        <v>0</v>
      </c>
    </row>
    <row r="234" customFormat="false" ht="15" hidden="false" customHeight="false" outlineLevel="0" collapsed="false">
      <c r="A234" s="34"/>
      <c r="B234" s="34"/>
      <c r="C234" s="34"/>
      <c r="D234" s="28" t="str">
        <f aca="false">IF(C234="","",IFERROR(INDEX(Mapping!$B$5:$B$40,MATCH(C234,Mapping!$A$5:$A$40,0)),"UNMAPPED"))</f>
        <v/>
      </c>
      <c r="E234" s="35"/>
      <c r="F234" s="35"/>
      <c r="G234" s="35"/>
      <c r="H234" s="35"/>
      <c r="I234" s="35"/>
      <c r="J234" s="35"/>
      <c r="K234" s="35"/>
      <c r="L234" s="35"/>
      <c r="M234" s="35"/>
      <c r="N234" s="35"/>
      <c r="O234" s="35"/>
      <c r="P234" s="35"/>
      <c r="Q234" s="35"/>
      <c r="R234" s="36" t="n">
        <f aca="false">IF(SUMPRODUCT(ABS(E234:Q234))=0,0,IF(OR(D234="IS",D234="BS"),0,1))</f>
        <v>0</v>
      </c>
    </row>
    <row r="235" customFormat="false" ht="15" hidden="false" customHeight="false" outlineLevel="0" collapsed="false">
      <c r="A235" s="34"/>
      <c r="B235" s="34"/>
      <c r="C235" s="34"/>
      <c r="D235" s="28" t="str">
        <f aca="false">IF(C235="","",IFERROR(INDEX(Mapping!$B$5:$B$40,MATCH(C235,Mapping!$A$5:$A$40,0)),"UNMAPPED"))</f>
        <v/>
      </c>
      <c r="E235" s="35"/>
      <c r="F235" s="35"/>
      <c r="G235" s="35"/>
      <c r="H235" s="35"/>
      <c r="I235" s="35"/>
      <c r="J235" s="35"/>
      <c r="K235" s="35"/>
      <c r="L235" s="35"/>
      <c r="M235" s="35"/>
      <c r="N235" s="35"/>
      <c r="O235" s="35"/>
      <c r="P235" s="35"/>
      <c r="Q235" s="35"/>
      <c r="R235" s="36" t="n">
        <f aca="false">IF(SUMPRODUCT(ABS(E235:Q235))=0,0,IF(OR(D235="IS",D235="BS"),0,1))</f>
        <v>0</v>
      </c>
    </row>
    <row r="236" customFormat="false" ht="15" hidden="false" customHeight="false" outlineLevel="0" collapsed="false">
      <c r="A236" s="34"/>
      <c r="B236" s="34"/>
      <c r="C236" s="34"/>
      <c r="D236" s="28" t="str">
        <f aca="false">IF(C236="","",IFERROR(INDEX(Mapping!$B$5:$B$40,MATCH(C236,Mapping!$A$5:$A$40,0)),"UNMAPPED"))</f>
        <v/>
      </c>
      <c r="E236" s="35"/>
      <c r="F236" s="35"/>
      <c r="G236" s="35"/>
      <c r="H236" s="35"/>
      <c r="I236" s="35"/>
      <c r="J236" s="35"/>
      <c r="K236" s="35"/>
      <c r="L236" s="35"/>
      <c r="M236" s="35"/>
      <c r="N236" s="35"/>
      <c r="O236" s="35"/>
      <c r="P236" s="35"/>
      <c r="Q236" s="35"/>
      <c r="R236" s="36" t="n">
        <f aca="false">IF(SUMPRODUCT(ABS(E236:Q236))=0,0,IF(OR(D236="IS",D236="BS"),0,1))</f>
        <v>0</v>
      </c>
    </row>
    <row r="237" customFormat="false" ht="15" hidden="false" customHeight="false" outlineLevel="0" collapsed="false">
      <c r="A237" s="34"/>
      <c r="B237" s="34"/>
      <c r="C237" s="34"/>
      <c r="D237" s="28" t="str">
        <f aca="false">IF(C237="","",IFERROR(INDEX(Mapping!$B$5:$B$40,MATCH(C237,Mapping!$A$5:$A$40,0)),"UNMAPPED"))</f>
        <v/>
      </c>
      <c r="E237" s="35"/>
      <c r="F237" s="35"/>
      <c r="G237" s="35"/>
      <c r="H237" s="35"/>
      <c r="I237" s="35"/>
      <c r="J237" s="35"/>
      <c r="K237" s="35"/>
      <c r="L237" s="35"/>
      <c r="M237" s="35"/>
      <c r="N237" s="35"/>
      <c r="O237" s="35"/>
      <c r="P237" s="35"/>
      <c r="Q237" s="35"/>
      <c r="R237" s="36" t="n">
        <f aca="false">IF(SUMPRODUCT(ABS(E237:Q237))=0,0,IF(OR(D237="IS",D237="BS"),0,1))</f>
        <v>0</v>
      </c>
    </row>
    <row r="238" customFormat="false" ht="15" hidden="false" customHeight="false" outlineLevel="0" collapsed="false">
      <c r="A238" s="34"/>
      <c r="B238" s="34"/>
      <c r="C238" s="34"/>
      <c r="D238" s="28" t="str">
        <f aca="false">IF(C238="","",IFERROR(INDEX(Mapping!$B$5:$B$40,MATCH(C238,Mapping!$A$5:$A$40,0)),"UNMAPPED"))</f>
        <v/>
      </c>
      <c r="E238" s="35"/>
      <c r="F238" s="35"/>
      <c r="G238" s="35"/>
      <c r="H238" s="35"/>
      <c r="I238" s="35"/>
      <c r="J238" s="35"/>
      <c r="K238" s="35"/>
      <c r="L238" s="35"/>
      <c r="M238" s="35"/>
      <c r="N238" s="35"/>
      <c r="O238" s="35"/>
      <c r="P238" s="35"/>
      <c r="Q238" s="35"/>
      <c r="R238" s="36" t="n">
        <f aca="false">IF(SUMPRODUCT(ABS(E238:Q238))=0,0,IF(OR(D238="IS",D238="BS"),0,1))</f>
        <v>0</v>
      </c>
    </row>
    <row r="239" customFormat="false" ht="15" hidden="false" customHeight="false" outlineLevel="0" collapsed="false">
      <c r="A239" s="34"/>
      <c r="B239" s="34"/>
      <c r="C239" s="34"/>
      <c r="D239" s="28" t="str">
        <f aca="false">IF(C239="","",IFERROR(INDEX(Mapping!$B$5:$B$40,MATCH(C239,Mapping!$A$5:$A$40,0)),"UNMAPPED"))</f>
        <v/>
      </c>
      <c r="E239" s="35"/>
      <c r="F239" s="35"/>
      <c r="G239" s="35"/>
      <c r="H239" s="35"/>
      <c r="I239" s="35"/>
      <c r="J239" s="35"/>
      <c r="K239" s="35"/>
      <c r="L239" s="35"/>
      <c r="M239" s="35"/>
      <c r="N239" s="35"/>
      <c r="O239" s="35"/>
      <c r="P239" s="35"/>
      <c r="Q239" s="35"/>
      <c r="R239" s="36" t="n">
        <f aca="false">IF(SUMPRODUCT(ABS(E239:Q239))=0,0,IF(OR(D239="IS",D239="BS"),0,1))</f>
        <v>0</v>
      </c>
    </row>
    <row r="240" customFormat="false" ht="15" hidden="false" customHeight="false" outlineLevel="0" collapsed="false">
      <c r="A240" s="34"/>
      <c r="B240" s="34"/>
      <c r="C240" s="34"/>
      <c r="D240" s="28" t="str">
        <f aca="false">IF(C240="","",IFERROR(INDEX(Mapping!$B$5:$B$40,MATCH(C240,Mapping!$A$5:$A$40,0)),"UNMAPPED"))</f>
        <v/>
      </c>
      <c r="E240" s="35"/>
      <c r="F240" s="35"/>
      <c r="G240" s="35"/>
      <c r="H240" s="35"/>
      <c r="I240" s="35"/>
      <c r="J240" s="35"/>
      <c r="K240" s="35"/>
      <c r="L240" s="35"/>
      <c r="M240" s="35"/>
      <c r="N240" s="35"/>
      <c r="O240" s="35"/>
      <c r="P240" s="35"/>
      <c r="Q240" s="35"/>
      <c r="R240" s="36" t="n">
        <f aca="false">IF(SUMPRODUCT(ABS(E240:Q240))=0,0,IF(OR(D240="IS",D240="BS"),0,1))</f>
        <v>0</v>
      </c>
    </row>
    <row r="241" customFormat="false" ht="15" hidden="false" customHeight="false" outlineLevel="0" collapsed="false">
      <c r="A241" s="34"/>
      <c r="B241" s="34"/>
      <c r="C241" s="34"/>
      <c r="D241" s="28" t="str">
        <f aca="false">IF(C241="","",IFERROR(INDEX(Mapping!$B$5:$B$40,MATCH(C241,Mapping!$A$5:$A$40,0)),"UNMAPPED"))</f>
        <v/>
      </c>
      <c r="E241" s="35"/>
      <c r="F241" s="35"/>
      <c r="G241" s="35"/>
      <c r="H241" s="35"/>
      <c r="I241" s="35"/>
      <c r="J241" s="35"/>
      <c r="K241" s="35"/>
      <c r="L241" s="35"/>
      <c r="M241" s="35"/>
      <c r="N241" s="35"/>
      <c r="O241" s="35"/>
      <c r="P241" s="35"/>
      <c r="Q241" s="35"/>
      <c r="R241" s="36" t="n">
        <f aca="false">IF(SUMPRODUCT(ABS(E241:Q241))=0,0,IF(OR(D241="IS",D241="BS"),0,1))</f>
        <v>0</v>
      </c>
    </row>
    <row r="242" customFormat="false" ht="15" hidden="false" customHeight="false" outlineLevel="0" collapsed="false">
      <c r="A242" s="34"/>
      <c r="B242" s="34"/>
      <c r="C242" s="34"/>
      <c r="D242" s="28" t="str">
        <f aca="false">IF(C242="","",IFERROR(INDEX(Mapping!$B$5:$B$40,MATCH(C242,Mapping!$A$5:$A$40,0)),"UNMAPPED"))</f>
        <v/>
      </c>
      <c r="E242" s="35"/>
      <c r="F242" s="35"/>
      <c r="G242" s="35"/>
      <c r="H242" s="35"/>
      <c r="I242" s="35"/>
      <c r="J242" s="35"/>
      <c r="K242" s="35"/>
      <c r="L242" s="35"/>
      <c r="M242" s="35"/>
      <c r="N242" s="35"/>
      <c r="O242" s="35"/>
      <c r="P242" s="35"/>
      <c r="Q242" s="35"/>
      <c r="R242" s="36" t="n">
        <f aca="false">IF(SUMPRODUCT(ABS(E242:Q242))=0,0,IF(OR(D242="IS",D242="BS"),0,1))</f>
        <v>0</v>
      </c>
    </row>
    <row r="243" customFormat="false" ht="15" hidden="false" customHeight="false" outlineLevel="0" collapsed="false">
      <c r="A243" s="34"/>
      <c r="B243" s="34"/>
      <c r="C243" s="34"/>
      <c r="D243" s="28" t="str">
        <f aca="false">IF(C243="","",IFERROR(INDEX(Mapping!$B$5:$B$40,MATCH(C243,Mapping!$A$5:$A$40,0)),"UNMAPPED"))</f>
        <v/>
      </c>
      <c r="E243" s="35"/>
      <c r="F243" s="35"/>
      <c r="G243" s="35"/>
      <c r="H243" s="35"/>
      <c r="I243" s="35"/>
      <c r="J243" s="35"/>
      <c r="K243" s="35"/>
      <c r="L243" s="35"/>
      <c r="M243" s="35"/>
      <c r="N243" s="35"/>
      <c r="O243" s="35"/>
      <c r="P243" s="35"/>
      <c r="Q243" s="35"/>
      <c r="R243" s="36" t="n">
        <f aca="false">IF(SUMPRODUCT(ABS(E243:Q243))=0,0,IF(OR(D243="IS",D243="BS"),0,1))</f>
        <v>0</v>
      </c>
    </row>
    <row r="244" customFormat="false" ht="15" hidden="false" customHeight="false" outlineLevel="0" collapsed="false">
      <c r="A244" s="34"/>
      <c r="B244" s="34"/>
      <c r="C244" s="34"/>
      <c r="D244" s="28" t="str">
        <f aca="false">IF(C244="","",IFERROR(INDEX(Mapping!$B$5:$B$40,MATCH(C244,Mapping!$A$5:$A$40,0)),"UNMAPPED"))</f>
        <v/>
      </c>
      <c r="E244" s="35"/>
      <c r="F244" s="35"/>
      <c r="G244" s="35"/>
      <c r="H244" s="35"/>
      <c r="I244" s="35"/>
      <c r="J244" s="35"/>
      <c r="K244" s="35"/>
      <c r="L244" s="35"/>
      <c r="M244" s="35"/>
      <c r="N244" s="35"/>
      <c r="O244" s="35"/>
      <c r="P244" s="35"/>
      <c r="Q244" s="35"/>
      <c r="R244" s="36" t="n">
        <f aca="false">IF(SUMPRODUCT(ABS(E244:Q244))=0,0,IF(OR(D244="IS",D244="BS"),0,1))</f>
        <v>0</v>
      </c>
    </row>
    <row r="245" customFormat="false" ht="15" hidden="false" customHeight="false" outlineLevel="0" collapsed="false">
      <c r="A245" s="34"/>
      <c r="B245" s="34"/>
      <c r="C245" s="34"/>
      <c r="D245" s="28" t="str">
        <f aca="false">IF(C245="","",IFERROR(INDEX(Mapping!$B$5:$B$40,MATCH(C245,Mapping!$A$5:$A$40,0)),"UNMAPPED"))</f>
        <v/>
      </c>
      <c r="E245" s="35"/>
      <c r="F245" s="35"/>
      <c r="G245" s="35"/>
      <c r="H245" s="35"/>
      <c r="I245" s="35"/>
      <c r="J245" s="35"/>
      <c r="K245" s="35"/>
      <c r="L245" s="35"/>
      <c r="M245" s="35"/>
      <c r="N245" s="35"/>
      <c r="O245" s="35"/>
      <c r="P245" s="35"/>
      <c r="Q245" s="35"/>
      <c r="R245" s="36" t="n">
        <f aca="false">IF(SUMPRODUCT(ABS(E245:Q245))=0,0,IF(OR(D245="IS",D245="BS"),0,1))</f>
        <v>0</v>
      </c>
    </row>
    <row r="246" customFormat="false" ht="15" hidden="false" customHeight="false" outlineLevel="0" collapsed="false">
      <c r="A246" s="34"/>
      <c r="B246" s="34"/>
      <c r="C246" s="34"/>
      <c r="D246" s="28" t="str">
        <f aca="false">IF(C246="","",IFERROR(INDEX(Mapping!$B$5:$B$40,MATCH(C246,Mapping!$A$5:$A$40,0)),"UNMAPPED"))</f>
        <v/>
      </c>
      <c r="E246" s="35"/>
      <c r="F246" s="35"/>
      <c r="G246" s="35"/>
      <c r="H246" s="35"/>
      <c r="I246" s="35"/>
      <c r="J246" s="35"/>
      <c r="K246" s="35"/>
      <c r="L246" s="35"/>
      <c r="M246" s="35"/>
      <c r="N246" s="35"/>
      <c r="O246" s="35"/>
      <c r="P246" s="35"/>
      <c r="Q246" s="35"/>
      <c r="R246" s="36" t="n">
        <f aca="false">IF(SUMPRODUCT(ABS(E246:Q246))=0,0,IF(OR(D246="IS",D246="BS"),0,1))</f>
        <v>0</v>
      </c>
    </row>
    <row r="247" customFormat="false" ht="15" hidden="false" customHeight="false" outlineLevel="0" collapsed="false">
      <c r="A247" s="34"/>
      <c r="B247" s="34"/>
      <c r="C247" s="34"/>
      <c r="D247" s="28" t="str">
        <f aca="false">IF(C247="","",IFERROR(INDEX(Mapping!$B$5:$B$40,MATCH(C247,Mapping!$A$5:$A$40,0)),"UNMAPPED"))</f>
        <v/>
      </c>
      <c r="E247" s="35"/>
      <c r="F247" s="35"/>
      <c r="G247" s="35"/>
      <c r="H247" s="35"/>
      <c r="I247" s="35"/>
      <c r="J247" s="35"/>
      <c r="K247" s="35"/>
      <c r="L247" s="35"/>
      <c r="M247" s="35"/>
      <c r="N247" s="35"/>
      <c r="O247" s="35"/>
      <c r="P247" s="35"/>
      <c r="Q247" s="35"/>
      <c r="R247" s="36" t="n">
        <f aca="false">IF(SUMPRODUCT(ABS(E247:Q247))=0,0,IF(OR(D247="IS",D247="BS"),0,1))</f>
        <v>0</v>
      </c>
    </row>
    <row r="248" customFormat="false" ht="15" hidden="false" customHeight="false" outlineLevel="0" collapsed="false">
      <c r="A248" s="34"/>
      <c r="B248" s="34"/>
      <c r="C248" s="34"/>
      <c r="D248" s="28" t="str">
        <f aca="false">IF(C248="","",IFERROR(INDEX(Mapping!$B$5:$B$40,MATCH(C248,Mapping!$A$5:$A$40,0)),"UNMAPPED"))</f>
        <v/>
      </c>
      <c r="E248" s="35"/>
      <c r="F248" s="35"/>
      <c r="G248" s="35"/>
      <c r="H248" s="35"/>
      <c r="I248" s="35"/>
      <c r="J248" s="35"/>
      <c r="K248" s="35"/>
      <c r="L248" s="35"/>
      <c r="M248" s="35"/>
      <c r="N248" s="35"/>
      <c r="O248" s="35"/>
      <c r="P248" s="35"/>
      <c r="Q248" s="35"/>
      <c r="R248" s="36" t="n">
        <f aca="false">IF(SUMPRODUCT(ABS(E248:Q248))=0,0,IF(OR(D248="IS",D248="BS"),0,1))</f>
        <v>0</v>
      </c>
    </row>
    <row r="249" customFormat="false" ht="15" hidden="false" customHeight="false" outlineLevel="0" collapsed="false">
      <c r="A249" s="34"/>
      <c r="B249" s="34"/>
      <c r="C249" s="34"/>
      <c r="D249" s="28" t="str">
        <f aca="false">IF(C249="","",IFERROR(INDEX(Mapping!$B$5:$B$40,MATCH(C249,Mapping!$A$5:$A$40,0)),"UNMAPPED"))</f>
        <v/>
      </c>
      <c r="E249" s="35"/>
      <c r="F249" s="35"/>
      <c r="G249" s="35"/>
      <c r="H249" s="35"/>
      <c r="I249" s="35"/>
      <c r="J249" s="35"/>
      <c r="K249" s="35"/>
      <c r="L249" s="35"/>
      <c r="M249" s="35"/>
      <c r="N249" s="35"/>
      <c r="O249" s="35"/>
      <c r="P249" s="35"/>
      <c r="Q249" s="35"/>
      <c r="R249" s="36" t="n">
        <f aca="false">IF(SUMPRODUCT(ABS(E249:Q249))=0,0,IF(OR(D249="IS",D249="BS"),0,1))</f>
        <v>0</v>
      </c>
    </row>
    <row r="250" customFormat="false" ht="15" hidden="false" customHeight="false" outlineLevel="0" collapsed="false">
      <c r="A250" s="34"/>
      <c r="B250" s="34"/>
      <c r="C250" s="34"/>
      <c r="D250" s="28" t="str">
        <f aca="false">IF(C250="","",IFERROR(INDEX(Mapping!$B$5:$B$40,MATCH(C250,Mapping!$A$5:$A$40,0)),"UNMAPPED"))</f>
        <v/>
      </c>
      <c r="E250" s="35"/>
      <c r="F250" s="35"/>
      <c r="G250" s="35"/>
      <c r="H250" s="35"/>
      <c r="I250" s="35"/>
      <c r="J250" s="35"/>
      <c r="K250" s="35"/>
      <c r="L250" s="35"/>
      <c r="M250" s="35"/>
      <c r="N250" s="35"/>
      <c r="O250" s="35"/>
      <c r="P250" s="35"/>
      <c r="Q250" s="35"/>
      <c r="R250" s="36" t="n">
        <f aca="false">IF(SUMPRODUCT(ABS(E250:Q250))=0,0,IF(OR(D250="IS",D250="BS"),0,1))</f>
        <v>0</v>
      </c>
    </row>
    <row r="251" customFormat="false" ht="15" hidden="false" customHeight="false" outlineLevel="0" collapsed="false">
      <c r="A251" s="34"/>
      <c r="B251" s="34"/>
      <c r="C251" s="34"/>
      <c r="D251" s="28" t="str">
        <f aca="false">IF(C251="","",IFERROR(INDEX(Mapping!$B$5:$B$40,MATCH(C251,Mapping!$A$5:$A$40,0)),"UNMAPPED"))</f>
        <v/>
      </c>
      <c r="E251" s="35"/>
      <c r="F251" s="35"/>
      <c r="G251" s="35"/>
      <c r="H251" s="35"/>
      <c r="I251" s="35"/>
      <c r="J251" s="35"/>
      <c r="K251" s="35"/>
      <c r="L251" s="35"/>
      <c r="M251" s="35"/>
      <c r="N251" s="35"/>
      <c r="O251" s="35"/>
      <c r="P251" s="35"/>
      <c r="Q251" s="35"/>
      <c r="R251" s="36" t="n">
        <f aca="false">IF(SUMPRODUCT(ABS(E251:Q251))=0,0,IF(OR(D251="IS",D251="BS"),0,1))</f>
        <v>0</v>
      </c>
    </row>
    <row r="252" customFormat="false" ht="15" hidden="false" customHeight="false" outlineLevel="0" collapsed="false">
      <c r="A252" s="34"/>
      <c r="B252" s="34"/>
      <c r="C252" s="34"/>
      <c r="D252" s="28" t="str">
        <f aca="false">IF(C252="","",IFERROR(INDEX(Mapping!$B$5:$B$40,MATCH(C252,Mapping!$A$5:$A$40,0)),"UNMAPPED"))</f>
        <v/>
      </c>
      <c r="E252" s="35"/>
      <c r="F252" s="35"/>
      <c r="G252" s="35"/>
      <c r="H252" s="35"/>
      <c r="I252" s="35"/>
      <c r="J252" s="35"/>
      <c r="K252" s="35"/>
      <c r="L252" s="35"/>
      <c r="M252" s="35"/>
      <c r="N252" s="35"/>
      <c r="O252" s="35"/>
      <c r="P252" s="35"/>
      <c r="Q252" s="35"/>
      <c r="R252" s="36" t="n">
        <f aca="false">IF(SUMPRODUCT(ABS(E252:Q252))=0,0,IF(OR(D252="IS",D252="BS"),0,1))</f>
        <v>0</v>
      </c>
    </row>
    <row r="253" customFormat="false" ht="15" hidden="false" customHeight="false" outlineLevel="0" collapsed="false">
      <c r="A253" s="34"/>
      <c r="B253" s="34"/>
      <c r="C253" s="34"/>
      <c r="D253" s="28" t="str">
        <f aca="false">IF(C253="","",IFERROR(INDEX(Mapping!$B$5:$B$40,MATCH(C253,Mapping!$A$5:$A$40,0)),"UNMAPPED"))</f>
        <v/>
      </c>
      <c r="E253" s="35"/>
      <c r="F253" s="35"/>
      <c r="G253" s="35"/>
      <c r="H253" s="35"/>
      <c r="I253" s="35"/>
      <c r="J253" s="35"/>
      <c r="K253" s="35"/>
      <c r="L253" s="35"/>
      <c r="M253" s="35"/>
      <c r="N253" s="35"/>
      <c r="O253" s="35"/>
      <c r="P253" s="35"/>
      <c r="Q253" s="35"/>
      <c r="R253" s="36" t="n">
        <f aca="false">IF(SUMPRODUCT(ABS(E253:Q253))=0,0,IF(OR(D253="IS",D253="BS"),0,1))</f>
        <v>0</v>
      </c>
    </row>
    <row r="254" customFormat="false" ht="15" hidden="false" customHeight="false" outlineLevel="0" collapsed="false">
      <c r="A254" s="34"/>
      <c r="B254" s="34"/>
      <c r="C254" s="34"/>
      <c r="D254" s="28" t="str">
        <f aca="false">IF(C254="","",IFERROR(INDEX(Mapping!$B$5:$B$40,MATCH(C254,Mapping!$A$5:$A$40,0)),"UNMAPPED"))</f>
        <v/>
      </c>
      <c r="E254" s="35"/>
      <c r="F254" s="35"/>
      <c r="G254" s="35"/>
      <c r="H254" s="35"/>
      <c r="I254" s="35"/>
      <c r="J254" s="35"/>
      <c r="K254" s="35"/>
      <c r="L254" s="35"/>
      <c r="M254" s="35"/>
      <c r="N254" s="35"/>
      <c r="O254" s="35"/>
      <c r="P254" s="35"/>
      <c r="Q254" s="35"/>
      <c r="R254" s="36" t="n">
        <f aca="false">IF(SUMPRODUCT(ABS(E254:Q254))=0,0,IF(OR(D254="IS",D254="BS"),0,1))</f>
        <v>0</v>
      </c>
    </row>
    <row r="255" customFormat="false" ht="15" hidden="false" customHeight="false" outlineLevel="0" collapsed="false">
      <c r="A255" s="34"/>
      <c r="B255" s="34"/>
      <c r="C255" s="34"/>
      <c r="D255" s="28" t="str">
        <f aca="false">IF(C255="","",IFERROR(INDEX(Mapping!$B$5:$B$40,MATCH(C255,Mapping!$A$5:$A$40,0)),"UNMAPPED"))</f>
        <v/>
      </c>
      <c r="E255" s="35"/>
      <c r="F255" s="35"/>
      <c r="G255" s="35"/>
      <c r="H255" s="35"/>
      <c r="I255" s="35"/>
      <c r="J255" s="35"/>
      <c r="K255" s="35"/>
      <c r="L255" s="35"/>
      <c r="M255" s="35"/>
      <c r="N255" s="35"/>
      <c r="O255" s="35"/>
      <c r="P255" s="35"/>
      <c r="Q255" s="35"/>
      <c r="R255" s="36" t="n">
        <f aca="false">IF(SUMPRODUCT(ABS(E255:Q255))=0,0,IF(OR(D255="IS",D255="BS"),0,1))</f>
        <v>0</v>
      </c>
    </row>
    <row r="257" customFormat="false" ht="15" hidden="false" customHeight="false" outlineLevel="0" collapsed="false">
      <c r="A257" s="37" t="s">
        <v>200</v>
      </c>
      <c r="B257" s="38"/>
      <c r="C257" s="38"/>
      <c r="D257" s="38"/>
      <c r="E257" s="39" t="n">
        <f aca="false">SUM(E6:E255)</f>
        <v>0</v>
      </c>
      <c r="F257" s="39" t="n">
        <f aca="false">SUM(F6:F255)</f>
        <v>0</v>
      </c>
      <c r="G257" s="39" t="n">
        <f aca="false">SUM(G6:G255)</f>
        <v>0</v>
      </c>
      <c r="H257" s="39" t="n">
        <f aca="false">SUM(H6:H255)</f>
        <v>0</v>
      </c>
      <c r="I257" s="39" t="n">
        <f aca="false">SUM(I6:I255)</f>
        <v>0</v>
      </c>
      <c r="J257" s="39" t="n">
        <f aca="false">SUM(J6:J255)</f>
        <v>0</v>
      </c>
      <c r="K257" s="39" t="n">
        <f aca="false">SUM(K6:K255)</f>
        <v>0</v>
      </c>
      <c r="L257" s="39" t="n">
        <f aca="false">SUM(L6:L255)</f>
        <v>0</v>
      </c>
      <c r="M257" s="39" t="n">
        <f aca="false">SUM(M6:M255)</f>
        <v>0</v>
      </c>
      <c r="N257" s="39" t="n">
        <f aca="false">SUM(N6:N255)</f>
        <v>0</v>
      </c>
      <c r="O257" s="39" t="n">
        <f aca="false">SUM(O6:O255)</f>
        <v>0</v>
      </c>
      <c r="P257" s="39" t="n">
        <f aca="false">SUM(P6:P255)</f>
        <v>0</v>
      </c>
      <c r="Q257" s="39" t="n">
        <f aca="false">SUM(Q6:Q255)</f>
        <v>0</v>
      </c>
    </row>
    <row r="258" customFormat="false" ht="15" hidden="false" customHeight="false" outlineLevel="0" collapsed="false">
      <c r="A258" s="17" t="s">
        <v>201</v>
      </c>
      <c r="E258" s="40" t="str">
        <f aca="false">IF(ABS(E257)&lt;0.5,"OK","ERROR")</f>
        <v>OK</v>
      </c>
      <c r="F258" s="40" t="str">
        <f aca="false">IF(ABS(F257)&lt;0.5,"OK","ERROR")</f>
        <v>OK</v>
      </c>
      <c r="G258" s="40" t="str">
        <f aca="false">IF(ABS(G257)&lt;0.5,"OK","ERROR")</f>
        <v>OK</v>
      </c>
      <c r="H258" s="40" t="str">
        <f aca="false">IF(ABS(H257)&lt;0.5,"OK","ERROR")</f>
        <v>OK</v>
      </c>
      <c r="I258" s="40" t="str">
        <f aca="false">IF(ABS(I257)&lt;0.5,"OK","ERROR")</f>
        <v>OK</v>
      </c>
      <c r="J258" s="40" t="str">
        <f aca="false">IF(ABS(J257)&lt;0.5,"OK","ERROR")</f>
        <v>OK</v>
      </c>
      <c r="K258" s="40" t="str">
        <f aca="false">IF(ABS(K257)&lt;0.5,"OK","ERROR")</f>
        <v>OK</v>
      </c>
      <c r="L258" s="40" t="str">
        <f aca="false">IF(ABS(L257)&lt;0.5,"OK","ERROR")</f>
        <v>OK</v>
      </c>
      <c r="M258" s="40" t="str">
        <f aca="false">IF(ABS(M257)&lt;0.5,"OK","ERROR")</f>
        <v>OK</v>
      </c>
      <c r="N258" s="40" t="str">
        <f aca="false">IF(ABS(N257)&lt;0.5,"OK","ERROR")</f>
        <v>OK</v>
      </c>
      <c r="O258" s="40" t="str">
        <f aca="false">IF(ABS(O257)&lt;0.5,"OK","ERROR")</f>
        <v>OK</v>
      </c>
      <c r="P258" s="40" t="str">
        <f aca="false">IF(ABS(P257)&lt;0.5,"OK","ERROR")</f>
        <v>OK</v>
      </c>
      <c r="Q258" s="40" t="str">
        <f aca="false">IF(ABS(Q257)&lt;0.5,"OK","ERROR")</f>
        <v>OK</v>
      </c>
    </row>
  </sheetData>
  <sheetProtection sheet="true" formatColumns="false" formatRows="false"/>
  <conditionalFormatting sqref="E258:Q258">
    <cfRule type="expression" priority="2" aboveAverage="0" equalAverage="0" bottom="0" percent="0" rank="0" text="" dxfId="0">
      <formula>LEFT(E258,2)="OK"</formula>
    </cfRule>
    <cfRule type="expression" priority="3" aboveAverage="0" equalAverage="0" bottom="0" percent="0" rank="0" text="" dxfId="1">
      <formula>LEFT(E258,5)="ERROR"</formula>
    </cfRule>
    <cfRule type="expression" priority="4" aboveAverage="0" equalAverage="0" bottom="0" percent="0" rank="0" text="" dxfId="2">
      <formula>LEFT(E258,4)="WARN"</formula>
    </cfRule>
  </conditionalFormatting>
  <dataValidations count="1">
    <dataValidation allowBlank="true" error="Pick a report line from the list." errorStyle="stop" operator="between" showDropDown="false" showErrorMessage="false" showInputMessage="false" sqref="C6:C255" type="list">
      <formula1>Mapping!$A$5:$A$40</formula1>
      <formula2>0</formula2>
    </dataValidation>
  </dataValidations>
  <printOptions headings="false" gridLines="false" gridLinesSet="true" horizontalCentered="true" verticalCentered="false"/>
  <pageMargins left="0.5" right="0.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&amp;LFree template by LBA Accounting - llba.co.za&amp;RPage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13" min="2" style="0" width="12"/>
    <col collapsed="false" customWidth="true" hidden="false" outlineLevel="0" max="14" min="14" style="0" width="14"/>
  </cols>
  <sheetData>
    <row r="1" customFormat="false" ht="17.35" hidden="false" customHeight="false" outlineLevel="0" collapsed="false">
      <c r="A1" s="15" t="s">
        <v>202</v>
      </c>
    </row>
    <row r="2" customFormat="false" ht="15" hidden="false" customHeight="false" outlineLevel="0" collapsed="false">
      <c r="A2" s="16" t="s">
        <v>203</v>
      </c>
    </row>
    <row r="4" customFormat="false" ht="15" hidden="false" customHeight="false" outlineLevel="0" collapsed="false">
      <c r="A4" s="26" t="s">
        <v>204</v>
      </c>
      <c r="B4" s="31" t="n">
        <f aca="false">Setup!$B$24</f>
        <v>46053</v>
      </c>
      <c r="C4" s="31" t="n">
        <f aca="false">Setup!$B$25</f>
        <v>46081</v>
      </c>
      <c r="D4" s="31" t="n">
        <f aca="false">Setup!$B$26</f>
        <v>46112</v>
      </c>
      <c r="E4" s="31" t="n">
        <f aca="false">Setup!$B$27</f>
        <v>46142</v>
      </c>
      <c r="F4" s="31" t="n">
        <f aca="false">Setup!$B$28</f>
        <v>46173</v>
      </c>
      <c r="G4" s="31" t="n">
        <f aca="false">Setup!$B$29</f>
        <v>46203</v>
      </c>
      <c r="H4" s="31" t="n">
        <f aca="false">Setup!$B$30</f>
        <v>46234</v>
      </c>
      <c r="I4" s="31" t="n">
        <f aca="false">Setup!$B$31</f>
        <v>46265</v>
      </c>
      <c r="J4" s="31" t="n">
        <f aca="false">Setup!$B$32</f>
        <v>46295</v>
      </c>
      <c r="K4" s="31" t="n">
        <f aca="false">Setup!$B$33</f>
        <v>46326</v>
      </c>
      <c r="L4" s="31" t="n">
        <f aca="false">Setup!$B$34</f>
        <v>46356</v>
      </c>
      <c r="M4" s="31" t="n">
        <f aca="false">Setup!$B$35</f>
        <v>46387</v>
      </c>
      <c r="N4" s="41" t="s">
        <v>205</v>
      </c>
    </row>
    <row r="5" customFormat="false" ht="15" hidden="false" customHeight="false" outlineLevel="0" collapsed="false">
      <c r="A5" s="16" t="s">
        <v>206</v>
      </c>
    </row>
    <row r="6" customFormat="false" ht="15" hidden="false" customHeight="false" outlineLevel="0" collapsed="false">
      <c r="A6" s="12" t="s">
        <v>154</v>
      </c>
      <c r="B6" s="35" t="n">
        <v>758500</v>
      </c>
      <c r="C6" s="35" t="n">
        <v>766100</v>
      </c>
      <c r="D6" s="35" t="n">
        <v>814500</v>
      </c>
      <c r="E6" s="35" t="n">
        <v>822600</v>
      </c>
      <c r="F6" s="35" t="n">
        <v>847400</v>
      </c>
      <c r="G6" s="35" t="n">
        <v>839100</v>
      </c>
      <c r="H6" s="35" t="n">
        <v>864500</v>
      </c>
      <c r="I6" s="35" t="n">
        <v>890200</v>
      </c>
      <c r="J6" s="35" t="n">
        <v>916400</v>
      </c>
      <c r="K6" s="35" t="n">
        <v>943100</v>
      </c>
      <c r="L6" s="35" t="n">
        <v>970100</v>
      </c>
      <c r="M6" s="35" t="n">
        <v>935300</v>
      </c>
      <c r="N6" s="42" t="n">
        <f aca="false">SUM(B6:M6)</f>
        <v>10367800</v>
      </c>
    </row>
    <row r="7" customFormat="false" ht="15" hidden="false" customHeight="false" outlineLevel="0" collapsed="false">
      <c r="A7" s="12" t="s">
        <v>161</v>
      </c>
      <c r="B7" s="35" t="n">
        <v>413700</v>
      </c>
      <c r="C7" s="35" t="n">
        <v>417800</v>
      </c>
      <c r="D7" s="35" t="n">
        <v>444200</v>
      </c>
      <c r="E7" s="35" t="n">
        <v>448700</v>
      </c>
      <c r="F7" s="35" t="n">
        <v>462200</v>
      </c>
      <c r="G7" s="35" t="n">
        <v>457700</v>
      </c>
      <c r="H7" s="35" t="n">
        <v>471500</v>
      </c>
      <c r="I7" s="35" t="n">
        <v>485600</v>
      </c>
      <c r="J7" s="35" t="n">
        <v>499800</v>
      </c>
      <c r="K7" s="35" t="n">
        <v>514400</v>
      </c>
      <c r="L7" s="35" t="n">
        <v>529100</v>
      </c>
      <c r="M7" s="35" t="n">
        <v>510100</v>
      </c>
      <c r="N7" s="42" t="n">
        <f aca="false">SUM(B7:M7)</f>
        <v>5654800</v>
      </c>
    </row>
    <row r="8" customFormat="false" ht="15" hidden="false" customHeight="false" outlineLevel="0" collapsed="false">
      <c r="A8" s="12" t="s">
        <v>157</v>
      </c>
      <c r="B8" s="35" t="n">
        <v>3000</v>
      </c>
      <c r="C8" s="35" t="n">
        <v>3000</v>
      </c>
      <c r="D8" s="35" t="n">
        <v>3000</v>
      </c>
      <c r="E8" s="35" t="n">
        <v>3000</v>
      </c>
      <c r="F8" s="35" t="n">
        <v>3000</v>
      </c>
      <c r="G8" s="35" t="n">
        <v>3000</v>
      </c>
      <c r="H8" s="35" t="n">
        <v>3000</v>
      </c>
      <c r="I8" s="35" t="n">
        <v>3000</v>
      </c>
      <c r="J8" s="35" t="n">
        <v>3000</v>
      </c>
      <c r="K8" s="35" t="n">
        <v>3000</v>
      </c>
      <c r="L8" s="35" t="n">
        <v>3000</v>
      </c>
      <c r="M8" s="35" t="n">
        <v>3000</v>
      </c>
      <c r="N8" s="42" t="n">
        <f aca="false">SUM(B8:M8)</f>
        <v>36000</v>
      </c>
    </row>
    <row r="9" customFormat="false" ht="15" hidden="false" customHeight="false" outlineLevel="0" collapsed="false">
      <c r="A9" s="12" t="s">
        <v>165</v>
      </c>
      <c r="B9" s="35" t="n">
        <v>132500</v>
      </c>
      <c r="C9" s="35" t="n">
        <v>133100</v>
      </c>
      <c r="D9" s="35" t="n">
        <v>133700</v>
      </c>
      <c r="E9" s="35" t="n">
        <v>134300</v>
      </c>
      <c r="F9" s="35" t="n">
        <v>135000</v>
      </c>
      <c r="G9" s="35" t="n">
        <v>135600</v>
      </c>
      <c r="H9" s="35" t="n">
        <v>136200</v>
      </c>
      <c r="I9" s="35" t="n">
        <v>136800</v>
      </c>
      <c r="J9" s="35" t="n">
        <v>137400</v>
      </c>
      <c r="K9" s="35" t="n">
        <v>138000</v>
      </c>
      <c r="L9" s="35" t="n">
        <v>138600</v>
      </c>
      <c r="M9" s="35" t="n">
        <v>139200</v>
      </c>
      <c r="N9" s="42" t="n">
        <f aca="false">SUM(B9:M9)</f>
        <v>1630400</v>
      </c>
    </row>
    <row r="10" customFormat="false" ht="15" hidden="false" customHeight="false" outlineLevel="0" collapsed="false">
      <c r="A10" s="12" t="s">
        <v>169</v>
      </c>
      <c r="B10" s="35" t="n">
        <v>34000</v>
      </c>
      <c r="C10" s="35" t="n">
        <v>34000</v>
      </c>
      <c r="D10" s="35" t="n">
        <v>34000</v>
      </c>
      <c r="E10" s="35" t="n">
        <v>34000</v>
      </c>
      <c r="F10" s="35" t="n">
        <v>34000</v>
      </c>
      <c r="G10" s="35" t="n">
        <v>34000</v>
      </c>
      <c r="H10" s="35" t="n">
        <v>34000</v>
      </c>
      <c r="I10" s="35" t="n">
        <v>34000</v>
      </c>
      <c r="J10" s="35" t="n">
        <v>34000</v>
      </c>
      <c r="K10" s="35" t="n">
        <v>34000</v>
      </c>
      <c r="L10" s="35" t="n">
        <v>34000</v>
      </c>
      <c r="M10" s="35" t="n">
        <v>34000</v>
      </c>
      <c r="N10" s="42" t="n">
        <f aca="false">SUM(B10:M10)</f>
        <v>408000</v>
      </c>
    </row>
    <row r="11" customFormat="false" ht="15" hidden="false" customHeight="false" outlineLevel="0" collapsed="false">
      <c r="A11" s="12" t="s">
        <v>172</v>
      </c>
      <c r="B11" s="35" t="n">
        <v>24000</v>
      </c>
      <c r="C11" s="35" t="n">
        <v>24000</v>
      </c>
      <c r="D11" s="35" t="n">
        <v>24000</v>
      </c>
      <c r="E11" s="35" t="n">
        <v>24000</v>
      </c>
      <c r="F11" s="35" t="n">
        <v>24000</v>
      </c>
      <c r="G11" s="35" t="n">
        <v>24000</v>
      </c>
      <c r="H11" s="35" t="n">
        <v>24000</v>
      </c>
      <c r="I11" s="35" t="n">
        <v>24000</v>
      </c>
      <c r="J11" s="35" t="n">
        <v>24000</v>
      </c>
      <c r="K11" s="35" t="n">
        <v>24000</v>
      </c>
      <c r="L11" s="35" t="n">
        <v>24000</v>
      </c>
      <c r="M11" s="35" t="n">
        <v>24000</v>
      </c>
      <c r="N11" s="42" t="n">
        <f aca="false">SUM(B11:M11)</f>
        <v>288000</v>
      </c>
    </row>
    <row r="12" customFormat="false" ht="15" hidden="false" customHeight="false" outlineLevel="0" collapsed="false">
      <c r="A12" s="12" t="s">
        <v>175</v>
      </c>
      <c r="B12" s="35" t="n">
        <v>17000</v>
      </c>
      <c r="C12" s="35" t="n">
        <v>17000</v>
      </c>
      <c r="D12" s="35" t="n">
        <v>17000</v>
      </c>
      <c r="E12" s="35" t="n">
        <v>17000</v>
      </c>
      <c r="F12" s="35" t="n">
        <v>17000</v>
      </c>
      <c r="G12" s="35" t="n">
        <v>17000</v>
      </c>
      <c r="H12" s="35" t="n">
        <v>17000</v>
      </c>
      <c r="I12" s="35" t="n">
        <v>17000</v>
      </c>
      <c r="J12" s="35" t="n">
        <v>17000</v>
      </c>
      <c r="K12" s="35" t="n">
        <v>17000</v>
      </c>
      <c r="L12" s="35" t="n">
        <v>17000</v>
      </c>
      <c r="M12" s="35" t="n">
        <v>17000</v>
      </c>
      <c r="N12" s="42" t="n">
        <f aca="false">SUM(B12:M12)</f>
        <v>204000</v>
      </c>
    </row>
    <row r="13" customFormat="false" ht="15" hidden="false" customHeight="false" outlineLevel="0" collapsed="false">
      <c r="A13" s="12" t="s">
        <v>179</v>
      </c>
      <c r="B13" s="35" t="n">
        <v>26000</v>
      </c>
      <c r="C13" s="35" t="n">
        <v>26000</v>
      </c>
      <c r="D13" s="35" t="n">
        <v>26000</v>
      </c>
      <c r="E13" s="35" t="n">
        <v>26000</v>
      </c>
      <c r="F13" s="35" t="n">
        <v>26000</v>
      </c>
      <c r="G13" s="35" t="n">
        <v>26000</v>
      </c>
      <c r="H13" s="35" t="n">
        <v>26000</v>
      </c>
      <c r="I13" s="35" t="n">
        <v>26000</v>
      </c>
      <c r="J13" s="35" t="n">
        <v>26000</v>
      </c>
      <c r="K13" s="35" t="n">
        <v>26000</v>
      </c>
      <c r="L13" s="35" t="n">
        <v>26000</v>
      </c>
      <c r="M13" s="35" t="n">
        <v>26000</v>
      </c>
      <c r="N13" s="42" t="n">
        <f aca="false">SUM(B13:M13)</f>
        <v>312000</v>
      </c>
    </row>
    <row r="14" customFormat="false" ht="15" hidden="false" customHeight="false" outlineLevel="0" collapsed="false">
      <c r="A14" s="12" t="s">
        <v>183</v>
      </c>
      <c r="B14" s="35" t="n">
        <v>18000</v>
      </c>
      <c r="C14" s="35" t="n">
        <v>18000</v>
      </c>
      <c r="D14" s="35" t="n">
        <v>18000</v>
      </c>
      <c r="E14" s="35" t="n">
        <v>18000</v>
      </c>
      <c r="F14" s="35" t="n">
        <v>18000</v>
      </c>
      <c r="G14" s="35" t="n">
        <v>18000</v>
      </c>
      <c r="H14" s="35" t="n">
        <v>18000</v>
      </c>
      <c r="I14" s="35" t="n">
        <v>18000</v>
      </c>
      <c r="J14" s="35" t="n">
        <v>18000</v>
      </c>
      <c r="K14" s="35" t="n">
        <v>18000</v>
      </c>
      <c r="L14" s="35" t="n">
        <v>18000</v>
      </c>
      <c r="M14" s="35" t="n">
        <v>18000</v>
      </c>
      <c r="N14" s="42" t="n">
        <f aca="false">SUM(B14:M14)</f>
        <v>216000</v>
      </c>
    </row>
    <row r="15" customFormat="false" ht="15" hidden="false" customHeight="false" outlineLevel="0" collapsed="false">
      <c r="A15" s="12" t="s">
        <v>185</v>
      </c>
      <c r="B15" s="35" t="n">
        <v>8000</v>
      </c>
      <c r="C15" s="35" t="n">
        <v>8000</v>
      </c>
      <c r="D15" s="35" t="n">
        <v>8000</v>
      </c>
      <c r="E15" s="35" t="n">
        <v>8000</v>
      </c>
      <c r="F15" s="35" t="n">
        <v>8000</v>
      </c>
      <c r="G15" s="35" t="n">
        <v>8000</v>
      </c>
      <c r="H15" s="35" t="n">
        <v>8000</v>
      </c>
      <c r="I15" s="35" t="n">
        <v>8000</v>
      </c>
      <c r="J15" s="35" t="n">
        <v>8000</v>
      </c>
      <c r="K15" s="35" t="n">
        <v>8000</v>
      </c>
      <c r="L15" s="35" t="n">
        <v>8000</v>
      </c>
      <c r="M15" s="35" t="n">
        <v>8000</v>
      </c>
      <c r="N15" s="42" t="n">
        <f aca="false">SUM(B15:M15)</f>
        <v>96000</v>
      </c>
    </row>
    <row r="16" customFormat="false" ht="15" hidden="false" customHeight="false" outlineLevel="0" collapsed="false">
      <c r="A16" s="12" t="s">
        <v>186</v>
      </c>
      <c r="B16" s="35" t="n">
        <v>9000</v>
      </c>
      <c r="C16" s="35" t="n">
        <v>9000</v>
      </c>
      <c r="D16" s="35" t="n">
        <v>9000</v>
      </c>
      <c r="E16" s="35" t="n">
        <v>9000</v>
      </c>
      <c r="F16" s="35" t="n">
        <v>9000</v>
      </c>
      <c r="G16" s="35" t="n">
        <v>9000</v>
      </c>
      <c r="H16" s="35" t="n">
        <v>9000</v>
      </c>
      <c r="I16" s="35" t="n">
        <v>9000</v>
      </c>
      <c r="J16" s="35" t="n">
        <v>9000</v>
      </c>
      <c r="K16" s="35" t="n">
        <v>9000</v>
      </c>
      <c r="L16" s="35" t="n">
        <v>9000</v>
      </c>
      <c r="M16" s="35" t="n">
        <v>9000</v>
      </c>
      <c r="N16" s="42" t="n">
        <f aca="false">SUM(B16:M16)</f>
        <v>108000</v>
      </c>
    </row>
    <row r="17" customFormat="false" ht="15" hidden="false" customHeight="false" outlineLevel="0" collapsed="false">
      <c r="A17" s="12" t="s">
        <v>187</v>
      </c>
      <c r="B17" s="35" t="n">
        <v>4500</v>
      </c>
      <c r="C17" s="35" t="n">
        <v>4500</v>
      </c>
      <c r="D17" s="35" t="n">
        <v>4500</v>
      </c>
      <c r="E17" s="35" t="n">
        <v>4500</v>
      </c>
      <c r="F17" s="35" t="n">
        <v>4500</v>
      </c>
      <c r="G17" s="35" t="n">
        <v>4500</v>
      </c>
      <c r="H17" s="35" t="n">
        <v>4500</v>
      </c>
      <c r="I17" s="35" t="n">
        <v>4500</v>
      </c>
      <c r="J17" s="35" t="n">
        <v>4500</v>
      </c>
      <c r="K17" s="35" t="n">
        <v>4500</v>
      </c>
      <c r="L17" s="35" t="n">
        <v>4500</v>
      </c>
      <c r="M17" s="35" t="n">
        <v>4500</v>
      </c>
      <c r="N17" s="42" t="n">
        <f aca="false">SUM(B17:M17)</f>
        <v>54000</v>
      </c>
    </row>
    <row r="18" customFormat="false" ht="15" hidden="false" customHeight="false" outlineLevel="0" collapsed="false">
      <c r="A18" s="12" t="s">
        <v>189</v>
      </c>
      <c r="B18" s="35" t="n">
        <v>15500</v>
      </c>
      <c r="C18" s="35" t="n">
        <v>15500</v>
      </c>
      <c r="D18" s="35" t="n">
        <v>15500</v>
      </c>
      <c r="E18" s="35" t="n">
        <v>15500</v>
      </c>
      <c r="F18" s="35" t="n">
        <v>15500</v>
      </c>
      <c r="G18" s="35" t="n">
        <v>15500</v>
      </c>
      <c r="H18" s="35" t="n">
        <v>15500</v>
      </c>
      <c r="I18" s="35" t="n">
        <v>15500</v>
      </c>
      <c r="J18" s="35" t="n">
        <v>15500</v>
      </c>
      <c r="K18" s="35" t="n">
        <v>15500</v>
      </c>
      <c r="L18" s="35" t="n">
        <v>15500</v>
      </c>
      <c r="M18" s="35" t="n">
        <v>15500</v>
      </c>
      <c r="N18" s="42" t="n">
        <f aca="false">SUM(B18:M18)</f>
        <v>186000</v>
      </c>
    </row>
    <row r="19" customFormat="false" ht="15" hidden="false" customHeight="false" outlineLevel="0" collapsed="false">
      <c r="A19" s="12" t="s">
        <v>194</v>
      </c>
      <c r="B19" s="35" t="n">
        <v>16000</v>
      </c>
      <c r="C19" s="35" t="n">
        <v>16000</v>
      </c>
      <c r="D19" s="35" t="n">
        <v>16000</v>
      </c>
      <c r="E19" s="35" t="n">
        <v>16000</v>
      </c>
      <c r="F19" s="35" t="n">
        <v>19000</v>
      </c>
      <c r="G19" s="35" t="n">
        <v>19000</v>
      </c>
      <c r="H19" s="35" t="n">
        <v>19000</v>
      </c>
      <c r="I19" s="35" t="n">
        <v>19000</v>
      </c>
      <c r="J19" s="35" t="n">
        <v>19000</v>
      </c>
      <c r="K19" s="35" t="n">
        <v>19000</v>
      </c>
      <c r="L19" s="35" t="n">
        <v>19000</v>
      </c>
      <c r="M19" s="35" t="n">
        <v>19000</v>
      </c>
      <c r="N19" s="42" t="n">
        <f aca="false">SUM(B19:M19)</f>
        <v>216000</v>
      </c>
    </row>
    <row r="20" customFormat="false" ht="15" hidden="false" customHeight="false" outlineLevel="0" collapsed="false">
      <c r="A20" s="12" t="s">
        <v>159</v>
      </c>
      <c r="B20" s="35" t="n">
        <v>800</v>
      </c>
      <c r="C20" s="35" t="n">
        <v>800</v>
      </c>
      <c r="D20" s="35" t="n">
        <v>800</v>
      </c>
      <c r="E20" s="35" t="n">
        <v>800</v>
      </c>
      <c r="F20" s="35" t="n">
        <v>800</v>
      </c>
      <c r="G20" s="35" t="n">
        <v>800</v>
      </c>
      <c r="H20" s="35" t="n">
        <v>800</v>
      </c>
      <c r="I20" s="35" t="n">
        <v>800</v>
      </c>
      <c r="J20" s="35" t="n">
        <v>800</v>
      </c>
      <c r="K20" s="35" t="n">
        <v>800</v>
      </c>
      <c r="L20" s="35" t="n">
        <v>800</v>
      </c>
      <c r="M20" s="35" t="n">
        <v>800</v>
      </c>
      <c r="N20" s="42" t="n">
        <f aca="false">SUM(B20:M20)</f>
        <v>9600</v>
      </c>
    </row>
    <row r="21" customFormat="false" ht="15" hidden="false" customHeight="false" outlineLevel="0" collapsed="false">
      <c r="A21" s="12" t="s">
        <v>197</v>
      </c>
      <c r="B21" s="35" t="n">
        <v>7400</v>
      </c>
      <c r="C21" s="35" t="n">
        <v>7200</v>
      </c>
      <c r="D21" s="35" t="n">
        <v>7000</v>
      </c>
      <c r="E21" s="35" t="n">
        <v>6900</v>
      </c>
      <c r="F21" s="35" t="n">
        <v>6800</v>
      </c>
      <c r="G21" s="35" t="n">
        <v>6600</v>
      </c>
      <c r="H21" s="35" t="n">
        <v>6400</v>
      </c>
      <c r="I21" s="35" t="n">
        <v>6300</v>
      </c>
      <c r="J21" s="35" t="n">
        <v>6200</v>
      </c>
      <c r="K21" s="35" t="n">
        <v>6000</v>
      </c>
      <c r="L21" s="35" t="n">
        <v>5800</v>
      </c>
      <c r="M21" s="35" t="n">
        <v>5700</v>
      </c>
      <c r="N21" s="42" t="n">
        <f aca="false">SUM(B21:M21)</f>
        <v>78300</v>
      </c>
    </row>
    <row r="22" customFormat="false" ht="15" hidden="false" customHeight="false" outlineLevel="0" collapsed="false">
      <c r="A22" s="12" t="s">
        <v>199</v>
      </c>
      <c r="B22" s="35" t="n">
        <v>9900</v>
      </c>
      <c r="C22" s="35" t="n">
        <v>10700</v>
      </c>
      <c r="D22" s="35" t="n">
        <v>16500</v>
      </c>
      <c r="E22" s="35" t="n">
        <v>17400</v>
      </c>
      <c r="F22" s="35" t="n">
        <v>19500</v>
      </c>
      <c r="G22" s="35" t="n">
        <v>18400</v>
      </c>
      <c r="H22" s="35" t="n">
        <v>21400</v>
      </c>
      <c r="I22" s="35" t="n">
        <v>24400</v>
      </c>
      <c r="J22" s="35" t="n">
        <v>27500</v>
      </c>
      <c r="K22" s="35" t="n">
        <v>30600</v>
      </c>
      <c r="L22" s="35" t="n">
        <v>33800</v>
      </c>
      <c r="M22" s="35" t="n">
        <v>29400</v>
      </c>
      <c r="N22" s="42" t="n">
        <f aca="false">SUM(B22:M22)</f>
        <v>259500</v>
      </c>
    </row>
    <row r="24" customFormat="false" ht="15" hidden="false" customHeight="false" outlineLevel="0" collapsed="false">
      <c r="A24" s="43" t="s">
        <v>207</v>
      </c>
      <c r="B24" s="44" t="n">
        <f aca="false">B6+B8+B20-(B7+B9+B10+B11+B12+B13+B14+B15+B16+B17+B18+B19+B21+B22)</f>
        <v>26800</v>
      </c>
      <c r="C24" s="44" t="n">
        <f aca="false">C6+C8+C20-(C7+C9+C10+C11+C12+C13+C14+C15+C16+C17+C18+C19+C21+C22)</f>
        <v>29100</v>
      </c>
      <c r="D24" s="44" t="n">
        <f aca="false">D6+D8+D20-(D7+D9+D10+D11+D12+D13+D14+D15+D16+D17+D18+D19+D21+D22)</f>
        <v>44900</v>
      </c>
      <c r="E24" s="44" t="n">
        <f aca="false">E6+E8+E20-(E7+E9+E10+E11+E12+E13+E14+E15+E16+E17+E18+E19+E21+E22)</f>
        <v>47100</v>
      </c>
      <c r="F24" s="44" t="n">
        <f aca="false">F6+F8+F20-(F7+F9+F10+F11+F12+F13+F14+F15+F16+F17+F18+F19+F21+F22)</f>
        <v>52700</v>
      </c>
      <c r="G24" s="44" t="n">
        <f aca="false">G6+G8+G20-(G7+G9+G10+G11+G12+G13+G14+G15+G16+G17+G18+G19+G21+G22)</f>
        <v>49600</v>
      </c>
      <c r="H24" s="44" t="n">
        <f aca="false">H6+H8+H20-(H7+H9+H10+H11+H12+H13+H14+H15+H16+H17+H18+H19+H21+H22)</f>
        <v>57800</v>
      </c>
      <c r="I24" s="44" t="n">
        <f aca="false">I6+I8+I20-(I7+I9+I10+I11+I12+I13+I14+I15+I16+I17+I18+I19+I21+I22)</f>
        <v>65900</v>
      </c>
      <c r="J24" s="44" t="n">
        <f aca="false">J6+J8+J20-(J7+J9+J10+J11+J12+J13+J14+J15+J16+J17+J18+J19+J21+J22)</f>
        <v>74300</v>
      </c>
      <c r="K24" s="44" t="n">
        <f aca="false">K6+K8+K20-(K7+K9+K10+K11+K12+K13+K14+K15+K16+K17+K18+K19+K21+K22)</f>
        <v>82900</v>
      </c>
      <c r="L24" s="44" t="n">
        <f aca="false">L6+L8+L20-(L7+L9+L10+L11+L12+L13+L14+L15+L16+L17+L18+L19+L21+L22)</f>
        <v>91600</v>
      </c>
      <c r="M24" s="44" t="n">
        <f aca="false">M6+M8+M20-(M7+M9+M10+M11+M12+M13+M14+M15+M16+M17+M18+M19+M21+M22)</f>
        <v>79700</v>
      </c>
      <c r="N24" s="44" t="n">
        <f aca="false">N6+N8+N20-(N7+N9+N10+N11+N12+N13+N14+N15+N16+N17+N18+N19+N21+N22)</f>
        <v>702400</v>
      </c>
    </row>
    <row r="26" customFormat="false" ht="15" hidden="false" customHeight="false" outlineLevel="0" collapsed="false">
      <c r="A26" s="16" t="s">
        <v>208</v>
      </c>
    </row>
  </sheetData>
  <sheetProtection sheet="true" formatColumns="false" formatRows="false"/>
  <printOptions headings="false" gridLines="false" gridLinesSet="true" horizontalCentered="true" verticalCentered="false"/>
  <pageMargins left="0.5" right="0.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&amp;LFree template by LBA Accounting - llba.co.za&amp;RPage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4" min="2" style="0" width="14"/>
    <col collapsed="false" customWidth="true" hidden="false" outlineLevel="0" max="5" min="5" style="0" width="9"/>
    <col collapsed="false" customWidth="true" hidden="false" outlineLevel="0" max="8" min="6" style="0" width="14"/>
    <col collapsed="false" customWidth="true" hidden="false" outlineLevel="0" max="9" min="9" style="0" width="9"/>
  </cols>
  <sheetData>
    <row r="1" customFormat="false" ht="17.35" hidden="false" customHeight="false" outlineLevel="0" collapsed="false">
      <c r="A1" s="15" t="str">
        <f aca="false">Setup!B4</f>
        <v>Sample Trading (Pty) Ltd - FICTIONAL EXAMPLE</v>
      </c>
    </row>
    <row r="2" customFormat="false" ht="15" hidden="false" customHeight="false" outlineLevel="0" collapsed="false">
      <c r="A2" s="5" t="s">
        <v>209</v>
      </c>
    </row>
    <row r="3" customFormat="false" ht="15" hidden="false" customHeight="false" outlineLevel="0" collapsed="false">
      <c r="A3" s="16" t="str">
        <f aca="false">"For the month ended "&amp;TEXT(Setup!B16,"d mmmm yyyy")&amp;" and year to date ("&amp;Setup!B19&amp;")"</f>
        <v>For the month ended 30 September 2026 and year to date (FY2026)</v>
      </c>
    </row>
    <row r="4" customFormat="false" ht="15" hidden="false" customHeight="false" outlineLevel="0" collapsed="false">
      <c r="A4" s="45" t="str">
        <f aca="false">Checks!$C$3</f>
        <v>OK - all checks passed</v>
      </c>
    </row>
    <row r="5" customFormat="false" ht="15" hidden="false" customHeight="false" outlineLevel="0" collapsed="false">
      <c r="A5" s="46" t="s">
        <v>210</v>
      </c>
    </row>
    <row r="6" customFormat="false" ht="15" hidden="false" customHeight="false" outlineLevel="0" collapsed="false">
      <c r="A6" s="12"/>
      <c r="B6" s="47" t="str">
        <f aca="false">TEXT(Setup!B16,"mmmm yyyy")</f>
        <v>September 2026</v>
      </c>
      <c r="C6" s="47"/>
      <c r="D6" s="47"/>
      <c r="E6" s="47"/>
      <c r="F6" s="47" t="s">
        <v>211</v>
      </c>
      <c r="G6" s="47"/>
      <c r="H6" s="47"/>
      <c r="I6" s="47"/>
    </row>
    <row r="7" customFormat="false" ht="15" hidden="false" customHeight="false" outlineLevel="0" collapsed="false">
      <c r="A7" s="26" t="s">
        <v>212</v>
      </c>
      <c r="B7" s="27" t="s">
        <v>213</v>
      </c>
      <c r="C7" s="27" t="s">
        <v>214</v>
      </c>
      <c r="D7" s="27" t="s">
        <v>215</v>
      </c>
      <c r="E7" s="27" t="s">
        <v>216</v>
      </c>
      <c r="F7" s="27" t="s">
        <v>213</v>
      </c>
      <c r="G7" s="27" t="s">
        <v>214</v>
      </c>
      <c r="H7" s="27" t="s">
        <v>215</v>
      </c>
      <c r="I7" s="27" t="s">
        <v>216</v>
      </c>
    </row>
    <row r="8" customFormat="false" ht="15" hidden="false" customHeight="false" outlineLevel="0" collapsed="false">
      <c r="A8" s="12" t="s">
        <v>154</v>
      </c>
      <c r="B8" s="48" t="n">
        <f aca="false">INDEX(Calc!$E$68:$P$68,Setup!$B$7)</f>
        <v>914191</v>
      </c>
      <c r="C8" s="48" t="n">
        <f aca="false">INDEX(Calc!$E$88:$P$88,Setup!$B$7)</f>
        <v>916400</v>
      </c>
      <c r="D8" s="48" t="n">
        <f aca="false">B8-C8</f>
        <v>-2209</v>
      </c>
      <c r="E8" s="49" t="n">
        <f aca="false">IF(C8=0,"",D8/ABS(C8))</f>
        <v>-0.00241051942383239</v>
      </c>
      <c r="F8" s="48" t="n">
        <f aca="false">INDEX(Calc!$E$48:$P$48,Setup!$B$7)</f>
        <v>7405164</v>
      </c>
      <c r="G8" s="48" t="n">
        <f aca="false">INDEX(Calc!$E$108:$P$108,Setup!$B$7)</f>
        <v>7519300</v>
      </c>
      <c r="H8" s="48" t="n">
        <f aca="false">F8-G8</f>
        <v>-114136</v>
      </c>
      <c r="I8" s="49" t="n">
        <f aca="false">IF(G8=0,"",H8/ABS(G8))</f>
        <v>-0.0151790725200484</v>
      </c>
    </row>
    <row r="9" customFormat="false" ht="15" hidden="false" customHeight="false" outlineLevel="0" collapsed="false">
      <c r="A9" s="12" t="s">
        <v>161</v>
      </c>
      <c r="B9" s="48" t="n">
        <f aca="false">INDEX(Calc!$E$69:$P$69,Setup!$B$7)</f>
        <v>500303</v>
      </c>
      <c r="C9" s="48" t="n">
        <f aca="false">INDEX(Calc!$E$89:$P$89,Setup!$B$7)</f>
        <v>499800</v>
      </c>
      <c r="D9" s="48" t="n">
        <f aca="false">C9-B9</f>
        <v>-503</v>
      </c>
      <c r="E9" s="49" t="n">
        <f aca="false">IF(C9=0,"",D9/ABS(C9))</f>
        <v>-0.00100640256102441</v>
      </c>
      <c r="F9" s="48" t="n">
        <f aca="false">INDEX(Calc!$E$49:$P$49,Setup!$B$7)</f>
        <v>4041692</v>
      </c>
      <c r="G9" s="48" t="n">
        <f aca="false">INDEX(Calc!$E$109:$P$109,Setup!$B$7)</f>
        <v>4101200</v>
      </c>
      <c r="H9" s="48" t="n">
        <f aca="false">G9-F9</f>
        <v>59508</v>
      </c>
      <c r="I9" s="49" t="n">
        <f aca="false">IF(G9=0,"",H9/ABS(G9))</f>
        <v>0.0145098995415976</v>
      </c>
    </row>
    <row r="10" customFormat="false" ht="15" hidden="false" customHeight="false" outlineLevel="0" collapsed="false">
      <c r="A10" s="17" t="s">
        <v>217</v>
      </c>
      <c r="B10" s="39" t="n">
        <f aca="false">B8-B9</f>
        <v>413888</v>
      </c>
      <c r="C10" s="39" t="n">
        <f aca="false">C8-C9</f>
        <v>416600</v>
      </c>
      <c r="D10" s="39" t="n">
        <f aca="false">B10-C10</f>
        <v>-2712</v>
      </c>
      <c r="E10" s="50" t="n">
        <f aca="false">IF(C10=0,"",D10/ABS(C10))</f>
        <v>-0.00650984157465195</v>
      </c>
      <c r="F10" s="39" t="n">
        <f aca="false">F8-F9</f>
        <v>3363472</v>
      </c>
      <c r="G10" s="39" t="n">
        <f aca="false">G8-G9</f>
        <v>3418100</v>
      </c>
      <c r="H10" s="39" t="n">
        <f aca="false">F10-G10</f>
        <v>-54628</v>
      </c>
      <c r="I10" s="50" t="n">
        <f aca="false">IF(G10=0,"",H10/ABS(G10))</f>
        <v>-0.0159819782920336</v>
      </c>
    </row>
    <row r="11" customFormat="false" ht="15" hidden="false" customHeight="false" outlineLevel="0" collapsed="false">
      <c r="A11" s="51" t="s">
        <v>218</v>
      </c>
      <c r="B11" s="52" t="n">
        <f aca="false">IFERROR(B10/B8,"")</f>
        <v>0.452736900713308</v>
      </c>
      <c r="C11" s="52" t="n">
        <f aca="false">IFERROR(C10/C8,"")</f>
        <v>0.454604975993016</v>
      </c>
      <c r="D11" s="52" t="n">
        <f aca="false">IF(OR(B11="",C11=""),"",B11-C11)</f>
        <v>-0.00186807527970789</v>
      </c>
      <c r="E11" s="12"/>
      <c r="F11" s="52" t="n">
        <f aca="false">IFERROR(F10/F8,"")</f>
        <v>0.454206280914238</v>
      </c>
      <c r="G11" s="52" t="n">
        <f aca="false">IFERROR(G10/G8,"")</f>
        <v>0.454576888806139</v>
      </c>
      <c r="H11" s="52" t="n">
        <f aca="false">IF(OR(F11="",G11=""),"",F11-G11)</f>
        <v>-0.000370607891901187</v>
      </c>
      <c r="I11" s="12"/>
    </row>
    <row r="12" customFormat="false" ht="15" hidden="false" customHeight="false" outlineLevel="0" collapsed="false">
      <c r="A12" s="12" t="s">
        <v>157</v>
      </c>
      <c r="B12" s="48" t="n">
        <f aca="false">INDEX(Calc!$E$70:$P$70,Setup!$B$7)</f>
        <v>5305</v>
      </c>
      <c r="C12" s="48" t="n">
        <f aca="false">INDEX(Calc!$E$90:$P$90,Setup!$B$7)</f>
        <v>3000</v>
      </c>
      <c r="D12" s="48" t="n">
        <f aca="false">B12-C12</f>
        <v>2305</v>
      </c>
      <c r="E12" s="49" t="n">
        <f aca="false">IF(C12=0,"",D12/ABS(C12))</f>
        <v>0.768333333333333</v>
      </c>
      <c r="F12" s="48" t="n">
        <f aca="false">INDEX(Calc!$E$50:$P$50,Setup!$B$7)</f>
        <v>35627</v>
      </c>
      <c r="G12" s="48" t="n">
        <f aca="false">INDEX(Calc!$E$110:$P$110,Setup!$B$7)</f>
        <v>27000</v>
      </c>
      <c r="H12" s="48" t="n">
        <f aca="false">F12-G12</f>
        <v>8627</v>
      </c>
      <c r="I12" s="49" t="n">
        <f aca="false">IF(G12=0,"",H12/ABS(G12))</f>
        <v>0.319518518518519</v>
      </c>
    </row>
    <row r="13" customFormat="false" ht="15" hidden="false" customHeight="false" outlineLevel="0" collapsed="false">
      <c r="A13" s="21" t="s">
        <v>219</v>
      </c>
    </row>
    <row r="14" customFormat="false" ht="15" hidden="false" customHeight="false" outlineLevel="0" collapsed="false">
      <c r="A14" s="12" t="s">
        <v>220</v>
      </c>
      <c r="B14" s="48" t="n">
        <f aca="false">INDEX(Calc!$E$71:$P$71,Setup!$B$7)</f>
        <v>139860</v>
      </c>
      <c r="C14" s="48" t="n">
        <f aca="false">INDEX(Calc!$E$91:$P$91,Setup!$B$7)</f>
        <v>137400</v>
      </c>
      <c r="D14" s="48" t="n">
        <f aca="false">C14-B14</f>
        <v>-2460</v>
      </c>
      <c r="E14" s="49" t="n">
        <f aca="false">IF(C14=0,"",D14/ABS(C14))</f>
        <v>-0.0179039301310044</v>
      </c>
      <c r="F14" s="48" t="n">
        <f aca="false">INDEX(Calc!$E$51:$P$51,Setup!$B$7)</f>
        <v>1216497</v>
      </c>
      <c r="G14" s="48" t="n">
        <f aca="false">INDEX(Calc!$E$111:$P$111,Setup!$B$7)</f>
        <v>1214600</v>
      </c>
      <c r="H14" s="48" t="n">
        <f aca="false">G14-F14</f>
        <v>-1897</v>
      </c>
      <c r="I14" s="49" t="n">
        <f aca="false">IF(G14=0,"",H14/ABS(G14))</f>
        <v>-0.00156183105549152</v>
      </c>
    </row>
    <row r="15" customFormat="false" ht="15" hidden="false" customHeight="false" outlineLevel="0" collapsed="false">
      <c r="A15" s="12" t="s">
        <v>221</v>
      </c>
      <c r="B15" s="48" t="n">
        <f aca="false">INDEX(Calc!$E$72:$P$72,Setup!$B$7)</f>
        <v>34000</v>
      </c>
      <c r="C15" s="48" t="n">
        <f aca="false">INDEX(Calc!$E$92:$P$92,Setup!$B$7)</f>
        <v>34000</v>
      </c>
      <c r="D15" s="48" t="n">
        <f aca="false">C15-B15</f>
        <v>0</v>
      </c>
      <c r="E15" s="49" t="n">
        <f aca="false">IF(C15=0,"",D15/ABS(C15))</f>
        <v>0</v>
      </c>
      <c r="F15" s="48" t="n">
        <f aca="false">INDEX(Calc!$E$52:$P$52,Setup!$B$7)</f>
        <v>306000</v>
      </c>
      <c r="G15" s="48" t="n">
        <f aca="false">INDEX(Calc!$E$112:$P$112,Setup!$B$7)</f>
        <v>306000</v>
      </c>
      <c r="H15" s="48" t="n">
        <f aca="false">G15-F15</f>
        <v>0</v>
      </c>
      <c r="I15" s="49" t="n">
        <f aca="false">IF(G15=0,"",H15/ABS(G15))</f>
        <v>0</v>
      </c>
    </row>
    <row r="16" customFormat="false" ht="15" hidden="false" customHeight="false" outlineLevel="0" collapsed="false">
      <c r="A16" s="12" t="s">
        <v>222</v>
      </c>
      <c r="B16" s="48" t="n">
        <f aca="false">INDEX(Calc!$E$73:$P$73,Setup!$B$7)</f>
        <v>32814</v>
      </c>
      <c r="C16" s="48" t="n">
        <f aca="false">INDEX(Calc!$E$93:$P$93,Setup!$B$7)</f>
        <v>24000</v>
      </c>
      <c r="D16" s="48" t="n">
        <f aca="false">C16-B16</f>
        <v>-8814</v>
      </c>
      <c r="E16" s="49" t="n">
        <f aca="false">IF(C16=0,"",D16/ABS(C16))</f>
        <v>-0.36725</v>
      </c>
      <c r="F16" s="48" t="n">
        <f aca="false">INDEX(Calc!$E$53:$P$53,Setup!$B$7)</f>
        <v>284558</v>
      </c>
      <c r="G16" s="48" t="n">
        <f aca="false">INDEX(Calc!$E$113:$P$113,Setup!$B$7)</f>
        <v>216000</v>
      </c>
      <c r="H16" s="48" t="n">
        <f aca="false">G16-F16</f>
        <v>-68558</v>
      </c>
      <c r="I16" s="49" t="n">
        <f aca="false">IF(G16=0,"",H16/ABS(G16))</f>
        <v>-0.317398148148148</v>
      </c>
    </row>
    <row r="17" customFormat="false" ht="15" hidden="false" customHeight="false" outlineLevel="0" collapsed="false">
      <c r="A17" s="12" t="s">
        <v>223</v>
      </c>
      <c r="B17" s="48" t="n">
        <f aca="false">INDEX(Calc!$E$74:$P$74,Setup!$B$7)</f>
        <v>17000</v>
      </c>
      <c r="C17" s="48" t="n">
        <f aca="false">INDEX(Calc!$E$94:$P$94,Setup!$B$7)</f>
        <v>17000</v>
      </c>
      <c r="D17" s="48" t="n">
        <f aca="false">C17-B17</f>
        <v>0</v>
      </c>
      <c r="E17" s="49" t="n">
        <f aca="false">IF(C17=0,"",D17/ABS(C17))</f>
        <v>0</v>
      </c>
      <c r="F17" s="48" t="n">
        <f aca="false">INDEX(Calc!$E$54:$P$54,Setup!$B$7)</f>
        <v>151000</v>
      </c>
      <c r="G17" s="48" t="n">
        <f aca="false">INDEX(Calc!$E$114:$P$114,Setup!$B$7)</f>
        <v>153000</v>
      </c>
      <c r="H17" s="48" t="n">
        <f aca="false">G17-F17</f>
        <v>2000</v>
      </c>
      <c r="I17" s="49" t="n">
        <f aca="false">IF(G17=0,"",H17/ABS(G17))</f>
        <v>0.0130718954248366</v>
      </c>
    </row>
    <row r="18" customFormat="false" ht="15" hidden="false" customHeight="false" outlineLevel="0" collapsed="false">
      <c r="A18" s="12" t="s">
        <v>224</v>
      </c>
      <c r="B18" s="48" t="n">
        <f aca="false">INDEX(Calc!$E$75:$P$75,Setup!$B$7)</f>
        <v>25135</v>
      </c>
      <c r="C18" s="48" t="n">
        <f aca="false">INDEX(Calc!$E$95:$P$95,Setup!$B$7)</f>
        <v>26000</v>
      </c>
      <c r="D18" s="48" t="n">
        <f aca="false">C18-B18</f>
        <v>865</v>
      </c>
      <c r="E18" s="49" t="n">
        <f aca="false">IF(C18=0,"",D18/ABS(C18))</f>
        <v>0.0332692307692308</v>
      </c>
      <c r="F18" s="48" t="n">
        <f aca="false">INDEX(Calc!$E$55:$P$55,Setup!$B$7)</f>
        <v>251324</v>
      </c>
      <c r="G18" s="48" t="n">
        <f aca="false">INDEX(Calc!$E$115:$P$115,Setup!$B$7)</f>
        <v>234000</v>
      </c>
      <c r="H18" s="48" t="n">
        <f aca="false">G18-F18</f>
        <v>-17324</v>
      </c>
      <c r="I18" s="49" t="n">
        <f aca="false">IF(G18=0,"",H18/ABS(G18))</f>
        <v>-0.074034188034188</v>
      </c>
    </row>
    <row r="19" customFormat="false" ht="15" hidden="false" customHeight="false" outlineLevel="0" collapsed="false">
      <c r="A19" s="12" t="s">
        <v>225</v>
      </c>
      <c r="B19" s="48" t="n">
        <f aca="false">INDEX(Calc!$E$76:$P$76,Setup!$B$7)</f>
        <v>18550</v>
      </c>
      <c r="C19" s="48" t="n">
        <f aca="false">INDEX(Calc!$E$96:$P$96,Setup!$B$7)</f>
        <v>18000</v>
      </c>
      <c r="D19" s="48" t="n">
        <f aca="false">C19-B19</f>
        <v>-550</v>
      </c>
      <c r="E19" s="49" t="n">
        <f aca="false">IF(C19=0,"",D19/ABS(C19))</f>
        <v>-0.0305555555555556</v>
      </c>
      <c r="F19" s="48" t="n">
        <f aca="false">INDEX(Calc!$E$56:$P$56,Setup!$B$7)</f>
        <v>174973</v>
      </c>
      <c r="G19" s="48" t="n">
        <f aca="false">INDEX(Calc!$E$116:$P$116,Setup!$B$7)</f>
        <v>162000</v>
      </c>
      <c r="H19" s="48" t="n">
        <f aca="false">G19-F19</f>
        <v>-12973</v>
      </c>
      <c r="I19" s="49" t="n">
        <f aca="false">IF(G19=0,"",H19/ABS(G19))</f>
        <v>-0.0800802469135803</v>
      </c>
    </row>
    <row r="20" customFormat="false" ht="15" hidden="false" customHeight="false" outlineLevel="0" collapsed="false">
      <c r="A20" s="12" t="s">
        <v>226</v>
      </c>
      <c r="B20" s="48" t="n">
        <f aca="false">INDEX(Calc!$E$77:$P$77,Setup!$B$7)</f>
        <v>13712</v>
      </c>
      <c r="C20" s="48" t="n">
        <f aca="false">INDEX(Calc!$E$97:$P$97,Setup!$B$7)</f>
        <v>8000</v>
      </c>
      <c r="D20" s="48" t="n">
        <f aca="false">C20-B20</f>
        <v>-5712</v>
      </c>
      <c r="E20" s="49" t="n">
        <f aca="false">IF(C20=0,"",D20/ABS(C20))</f>
        <v>-0.714</v>
      </c>
      <c r="F20" s="48" t="n">
        <f aca="false">INDEX(Calc!$E$57:$P$57,Setup!$B$7)</f>
        <v>102043</v>
      </c>
      <c r="G20" s="48" t="n">
        <f aca="false">INDEX(Calc!$E$117:$P$117,Setup!$B$7)</f>
        <v>72000</v>
      </c>
      <c r="H20" s="48" t="n">
        <f aca="false">G20-F20</f>
        <v>-30043</v>
      </c>
      <c r="I20" s="49" t="n">
        <f aca="false">IF(G20=0,"",H20/ABS(G20))</f>
        <v>-0.417263888888889</v>
      </c>
    </row>
    <row r="21" customFormat="false" ht="15" hidden="false" customHeight="false" outlineLevel="0" collapsed="false">
      <c r="A21" s="12" t="s">
        <v>227</v>
      </c>
      <c r="B21" s="48" t="n">
        <f aca="false">INDEX(Calc!$E$78:$P$78,Setup!$B$7)</f>
        <v>9000</v>
      </c>
      <c r="C21" s="48" t="n">
        <f aca="false">INDEX(Calc!$E$98:$P$98,Setup!$B$7)</f>
        <v>9000</v>
      </c>
      <c r="D21" s="48" t="n">
        <f aca="false">C21-B21</f>
        <v>0</v>
      </c>
      <c r="E21" s="49" t="n">
        <f aca="false">IF(C21=0,"",D21/ABS(C21))</f>
        <v>0</v>
      </c>
      <c r="F21" s="48" t="n">
        <f aca="false">INDEX(Calc!$E$58:$P$58,Setup!$B$7)</f>
        <v>81000</v>
      </c>
      <c r="G21" s="48" t="n">
        <f aca="false">INDEX(Calc!$E$118:$P$118,Setup!$B$7)</f>
        <v>81000</v>
      </c>
      <c r="H21" s="48" t="n">
        <f aca="false">G21-F21</f>
        <v>0</v>
      </c>
      <c r="I21" s="49" t="n">
        <f aca="false">IF(G21=0,"",H21/ABS(G21))</f>
        <v>0</v>
      </c>
    </row>
    <row r="22" customFormat="false" ht="15" hidden="false" customHeight="false" outlineLevel="0" collapsed="false">
      <c r="A22" s="12" t="s">
        <v>228</v>
      </c>
      <c r="B22" s="48" t="n">
        <f aca="false">INDEX(Calc!$E$79:$P$79,Setup!$B$7)</f>
        <v>5041</v>
      </c>
      <c r="C22" s="48" t="n">
        <f aca="false">INDEX(Calc!$E$99:$P$99,Setup!$B$7)</f>
        <v>4500</v>
      </c>
      <c r="D22" s="48" t="n">
        <f aca="false">C22-B22</f>
        <v>-541</v>
      </c>
      <c r="E22" s="49" t="n">
        <f aca="false">IF(C22=0,"",D22/ABS(C22))</f>
        <v>-0.120222222222222</v>
      </c>
      <c r="F22" s="48" t="n">
        <f aca="false">INDEX(Calc!$E$59:$P$59,Setup!$B$7)</f>
        <v>44527</v>
      </c>
      <c r="G22" s="48" t="n">
        <f aca="false">INDEX(Calc!$E$119:$P$119,Setup!$B$7)</f>
        <v>40500</v>
      </c>
      <c r="H22" s="48" t="n">
        <f aca="false">G22-F22</f>
        <v>-4027</v>
      </c>
      <c r="I22" s="49" t="n">
        <f aca="false">IF(G22=0,"",H22/ABS(G22))</f>
        <v>-0.0994320987654321</v>
      </c>
    </row>
    <row r="23" customFormat="false" ht="15" hidden="false" customHeight="false" outlineLevel="0" collapsed="false">
      <c r="A23" s="12" t="s">
        <v>229</v>
      </c>
      <c r="B23" s="48" t="n">
        <f aca="false">INDEX(Calc!$E$80:$P$80,Setup!$B$7)</f>
        <v>13881</v>
      </c>
      <c r="C23" s="48" t="n">
        <f aca="false">INDEX(Calc!$E$100:$P$100,Setup!$B$7)</f>
        <v>15500</v>
      </c>
      <c r="D23" s="48" t="n">
        <f aca="false">C23-B23</f>
        <v>1619</v>
      </c>
      <c r="E23" s="49" t="n">
        <f aca="false">IF(C23=0,"",D23/ABS(C23))</f>
        <v>0.104451612903226</v>
      </c>
      <c r="F23" s="48" t="n">
        <f aca="false">INDEX(Calc!$E$60:$P$60,Setup!$B$7)</f>
        <v>139432</v>
      </c>
      <c r="G23" s="48" t="n">
        <f aca="false">INDEX(Calc!$E$120:$P$120,Setup!$B$7)</f>
        <v>139500</v>
      </c>
      <c r="H23" s="48" t="n">
        <f aca="false">G23-F23</f>
        <v>68</v>
      </c>
      <c r="I23" s="49" t="n">
        <f aca="false">IF(G23=0,"",H23/ABS(G23))</f>
        <v>0.000487455197132616</v>
      </c>
    </row>
    <row r="24" customFormat="false" ht="15" hidden="false" customHeight="false" outlineLevel="0" collapsed="false">
      <c r="A24" s="17" t="s">
        <v>230</v>
      </c>
      <c r="B24" s="39" t="n">
        <f aca="false">SUM(B14:B23)</f>
        <v>308993</v>
      </c>
      <c r="C24" s="39" t="n">
        <f aca="false">SUM(C14:C23)</f>
        <v>293400</v>
      </c>
      <c r="D24" s="39" t="n">
        <f aca="false">C24-B24</f>
        <v>-15593</v>
      </c>
      <c r="E24" s="50" t="n">
        <f aca="false">IF(C24=0,"",D24/ABS(C24))</f>
        <v>-0.053145875937287</v>
      </c>
      <c r="F24" s="39" t="n">
        <f aca="false">SUM(F14:F23)</f>
        <v>2751354</v>
      </c>
      <c r="G24" s="39" t="n">
        <f aca="false">SUM(G14:G23)</f>
        <v>2618600</v>
      </c>
      <c r="H24" s="39" t="n">
        <f aca="false">G24-F24</f>
        <v>-132754</v>
      </c>
      <c r="I24" s="50" t="n">
        <f aca="false">IF(G24=0,"",H24/ABS(G24))</f>
        <v>-0.0506965554112885</v>
      </c>
    </row>
    <row r="25" customFormat="false" ht="15" hidden="false" customHeight="false" outlineLevel="0" collapsed="false">
      <c r="A25" s="17" t="s">
        <v>231</v>
      </c>
      <c r="B25" s="39" t="n">
        <f aca="false">B10+B12-B24</f>
        <v>110200</v>
      </c>
      <c r="C25" s="39" t="n">
        <f aca="false">C10+C12-C24</f>
        <v>126200</v>
      </c>
      <c r="D25" s="39" t="n">
        <f aca="false">B25-C25</f>
        <v>-16000</v>
      </c>
      <c r="E25" s="50" t="n">
        <f aca="false">IF(C25=0,"",D25/ABS(C25))</f>
        <v>-0.126782884310618</v>
      </c>
      <c r="F25" s="39" t="n">
        <f aca="false">F10+F12-F24</f>
        <v>647745</v>
      </c>
      <c r="G25" s="39" t="n">
        <f aca="false">G10+G12-G24</f>
        <v>826500</v>
      </c>
      <c r="H25" s="39" t="n">
        <f aca="false">F25-G25</f>
        <v>-178755</v>
      </c>
      <c r="I25" s="50" t="n">
        <f aca="false">IF(G25=0,"",H25/ABS(G25))</f>
        <v>-0.216279491833031</v>
      </c>
    </row>
    <row r="26" customFormat="false" ht="15" hidden="false" customHeight="false" outlineLevel="0" collapsed="false">
      <c r="A26" s="12" t="s">
        <v>194</v>
      </c>
      <c r="B26" s="48" t="n">
        <f aca="false">INDEX(Calc!$E$81:$P$81,Setup!$B$7)</f>
        <v>19750</v>
      </c>
      <c r="C26" s="48" t="n">
        <f aca="false">INDEX(Calc!$E$101:$P$101,Setup!$B$7)</f>
        <v>19000</v>
      </c>
      <c r="D26" s="48" t="n">
        <f aca="false">C26-B26</f>
        <v>-750</v>
      </c>
      <c r="E26" s="49" t="n">
        <f aca="false">IF(C26=0,"",D26/ABS(C26))</f>
        <v>-0.0394736842105263</v>
      </c>
      <c r="F26" s="48" t="n">
        <f aca="false">INDEX(Calc!$E$61:$P$61,Setup!$B$7)</f>
        <v>160500</v>
      </c>
      <c r="G26" s="48" t="n">
        <f aca="false">INDEX(Calc!$E$121:$P$121,Setup!$B$7)</f>
        <v>159000</v>
      </c>
      <c r="H26" s="48" t="n">
        <f aca="false">G26-F26</f>
        <v>-1500</v>
      </c>
      <c r="I26" s="49" t="n">
        <f aca="false">IF(G26=0,"",H26/ABS(G26))</f>
        <v>-0.00943396226415094</v>
      </c>
    </row>
    <row r="27" customFormat="false" ht="15" hidden="false" customHeight="false" outlineLevel="0" collapsed="false">
      <c r="A27" s="17" t="s">
        <v>232</v>
      </c>
      <c r="B27" s="39" t="n">
        <f aca="false">B25-B26</f>
        <v>90450</v>
      </c>
      <c r="C27" s="39" t="n">
        <f aca="false">C25-C26</f>
        <v>107200</v>
      </c>
      <c r="D27" s="39" t="n">
        <f aca="false">B27-C27</f>
        <v>-16750</v>
      </c>
      <c r="E27" s="50" t="n">
        <f aca="false">IF(C27=0,"",D27/ABS(C27))</f>
        <v>-0.15625</v>
      </c>
      <c r="F27" s="39" t="n">
        <f aca="false">F25-F26</f>
        <v>487245</v>
      </c>
      <c r="G27" s="39" t="n">
        <f aca="false">G25-G26</f>
        <v>667500</v>
      </c>
      <c r="H27" s="39" t="n">
        <f aca="false">F27-G27</f>
        <v>-180255</v>
      </c>
      <c r="I27" s="50" t="n">
        <f aca="false">IF(G27=0,"",H27/ABS(G27))</f>
        <v>-0.270044943820225</v>
      </c>
    </row>
    <row r="28" customFormat="false" ht="15" hidden="false" customHeight="false" outlineLevel="0" collapsed="false">
      <c r="A28" s="12" t="s">
        <v>159</v>
      </c>
      <c r="B28" s="48" t="n">
        <f aca="false">INDEX(Calc!$E$82:$P$82,Setup!$B$7)</f>
        <v>781</v>
      </c>
      <c r="C28" s="48" t="n">
        <f aca="false">INDEX(Calc!$E$102:$P$102,Setup!$B$7)</f>
        <v>800</v>
      </c>
      <c r="D28" s="48" t="n">
        <f aca="false">B28-C28</f>
        <v>-19</v>
      </c>
      <c r="E28" s="49" t="n">
        <f aca="false">IF(C28=0,"",D28/ABS(C28))</f>
        <v>-0.02375</v>
      </c>
      <c r="F28" s="48" t="n">
        <f aca="false">INDEX(Calc!$E$62:$P$62,Setup!$B$7)</f>
        <v>6888</v>
      </c>
      <c r="G28" s="48" t="n">
        <f aca="false">INDEX(Calc!$E$122:$P$122,Setup!$B$7)</f>
        <v>7200</v>
      </c>
      <c r="H28" s="48" t="n">
        <f aca="false">F28-G28</f>
        <v>-312</v>
      </c>
      <c r="I28" s="49" t="n">
        <f aca="false">IF(G28=0,"",H28/ABS(G28))</f>
        <v>-0.0433333333333333</v>
      </c>
    </row>
    <row r="29" customFormat="false" ht="15" hidden="false" customHeight="false" outlineLevel="0" collapsed="false">
      <c r="A29" s="12" t="s">
        <v>197</v>
      </c>
      <c r="B29" s="48" t="n">
        <f aca="false">INDEX(Calc!$E$83:$P$83,Setup!$B$7)</f>
        <v>6424</v>
      </c>
      <c r="C29" s="48" t="n">
        <f aca="false">INDEX(Calc!$E$103:$P$103,Setup!$B$7)</f>
        <v>6200</v>
      </c>
      <c r="D29" s="48" t="n">
        <f aca="false">C29-B29</f>
        <v>-224</v>
      </c>
      <c r="E29" s="49" t="n">
        <f aca="false">IF(C29=0,"",D29/ABS(C29))</f>
        <v>-0.0361290322580645</v>
      </c>
      <c r="F29" s="48" t="n">
        <f aca="false">INDEX(Calc!$E$63:$P$63,Setup!$B$7)</f>
        <v>70858</v>
      </c>
      <c r="G29" s="48" t="n">
        <f aca="false">INDEX(Calc!$E$123:$P$123,Setup!$B$7)</f>
        <v>60800</v>
      </c>
      <c r="H29" s="48" t="n">
        <f aca="false">G29-F29</f>
        <v>-10058</v>
      </c>
      <c r="I29" s="49" t="n">
        <f aca="false">IF(G29=0,"",H29/ABS(G29))</f>
        <v>-0.165427631578947</v>
      </c>
    </row>
    <row r="30" customFormat="false" ht="15" hidden="false" customHeight="false" outlineLevel="0" collapsed="false">
      <c r="A30" s="17" t="s">
        <v>233</v>
      </c>
      <c r="B30" s="39" t="n">
        <f aca="false">B27+B28-B29</f>
        <v>84807</v>
      </c>
      <c r="C30" s="39" t="n">
        <f aca="false">C27+C28-C29</f>
        <v>101800</v>
      </c>
      <c r="D30" s="39" t="n">
        <f aca="false">B30-C30</f>
        <v>-16993</v>
      </c>
      <c r="E30" s="50" t="n">
        <f aca="false">IF(C30=0,"",D30/ABS(C30))</f>
        <v>-0.166925343811395</v>
      </c>
      <c r="F30" s="39" t="n">
        <f aca="false">F27+F28-F29</f>
        <v>423275</v>
      </c>
      <c r="G30" s="39" t="n">
        <f aca="false">G27+G28-G29</f>
        <v>613900</v>
      </c>
      <c r="H30" s="39" t="n">
        <f aca="false">F30-G30</f>
        <v>-190625</v>
      </c>
      <c r="I30" s="50" t="n">
        <f aca="false">IF(G30=0,"",H30/ABS(G30))</f>
        <v>-0.310514741814628</v>
      </c>
    </row>
    <row r="31" customFormat="false" ht="15" hidden="false" customHeight="false" outlineLevel="0" collapsed="false">
      <c r="A31" s="12" t="s">
        <v>199</v>
      </c>
      <c r="B31" s="48" t="n">
        <f aca="false">INDEX(Calc!$E$84:$P$84,Setup!$B$7)</f>
        <v>22898</v>
      </c>
      <c r="C31" s="48" t="n">
        <f aca="false">INDEX(Calc!$E$104:$P$104,Setup!$B$7)</f>
        <v>27500</v>
      </c>
      <c r="D31" s="48" t="n">
        <f aca="false">C31-B31</f>
        <v>4602</v>
      </c>
      <c r="E31" s="49" t="n">
        <f aca="false">IF(C31=0,"",D31/ABS(C31))</f>
        <v>0.167345454545455</v>
      </c>
      <c r="F31" s="48" t="n">
        <f aca="false">INDEX(Calc!$E$64:$P$64,Setup!$B$7)</f>
        <v>114284</v>
      </c>
      <c r="G31" s="48" t="n">
        <f aca="false">INDEX(Calc!$E$124:$P$124,Setup!$B$7)</f>
        <v>165700</v>
      </c>
      <c r="H31" s="48" t="n">
        <f aca="false">G31-F31</f>
        <v>51416</v>
      </c>
      <c r="I31" s="49" t="n">
        <f aca="false">IF(G31=0,"",H31/ABS(G31))</f>
        <v>0.310295715147858</v>
      </c>
    </row>
    <row r="32" customFormat="false" ht="15" hidden="false" customHeight="false" outlineLevel="0" collapsed="false">
      <c r="A32" s="17" t="s">
        <v>234</v>
      </c>
      <c r="B32" s="44" t="n">
        <f aca="false">B30-B31</f>
        <v>61909</v>
      </c>
      <c r="C32" s="44" t="n">
        <f aca="false">C30-C31</f>
        <v>74300</v>
      </c>
      <c r="D32" s="44" t="n">
        <f aca="false">B32-C32</f>
        <v>-12391</v>
      </c>
      <c r="E32" s="53" t="n">
        <f aca="false">IF(C32=0,"",D32/ABS(C32))</f>
        <v>-0.166769851951548</v>
      </c>
      <c r="F32" s="44" t="n">
        <f aca="false">F30-F31</f>
        <v>308991</v>
      </c>
      <c r="G32" s="44" t="n">
        <f aca="false">G30-G31</f>
        <v>448200</v>
      </c>
      <c r="H32" s="44" t="n">
        <f aca="false">F32-G32</f>
        <v>-139209</v>
      </c>
      <c r="I32" s="53" t="n">
        <f aca="false">IF(G32=0,"",H32/ABS(G32))</f>
        <v>-0.310595716198126</v>
      </c>
    </row>
    <row r="33" customFormat="false" ht="15" hidden="false" customHeight="false" outlineLevel="0" collapsed="false">
      <c r="A33" s="51" t="s">
        <v>235</v>
      </c>
      <c r="B33" s="52" t="n">
        <f aca="false">IFERROR(B32/B8,"")</f>
        <v>0.0677199841171046</v>
      </c>
      <c r="C33" s="52" t="n">
        <f aca="false">IFERROR(C32/C8,"")</f>
        <v>0.0810781318201659</v>
      </c>
      <c r="D33" s="52" t="n">
        <f aca="false">IF(OR(B33="",C33=""),"",B33-C33)</f>
        <v>-0.0133581477030612</v>
      </c>
      <c r="E33" s="12"/>
      <c r="F33" s="52" t="n">
        <f aca="false">IFERROR(F32/F8,"")</f>
        <v>0.041726422264247</v>
      </c>
      <c r="G33" s="52" t="n">
        <f aca="false">IFERROR(G32/G8,"")</f>
        <v>0.059606612317636</v>
      </c>
      <c r="H33" s="52" t="n">
        <f aca="false">IF(OR(F33="",G33=""),"",F33-G33)</f>
        <v>-0.017880190053389</v>
      </c>
      <c r="I33" s="12"/>
    </row>
    <row r="35" customFormat="false" ht="15" hidden="false" customHeight="false" outlineLevel="0" collapsed="false">
      <c r="A35" s="16" t="s">
        <v>236</v>
      </c>
    </row>
    <row r="36" customFormat="false" ht="15" hidden="false" customHeight="false" outlineLevel="0" collapsed="false">
      <c r="A36" s="16" t="s">
        <v>237</v>
      </c>
    </row>
  </sheetData>
  <sheetProtection sheet="true" formatColumns="false" formatRows="false"/>
  <mergeCells count="2">
    <mergeCell ref="B6:E6"/>
    <mergeCell ref="F6:I6"/>
  </mergeCells>
  <conditionalFormatting sqref="D8:E33">
    <cfRule type="cellIs" priority="2" operator="lessThan" aboveAverage="0" equalAverage="0" bottom="0" percent="0" rank="0" text="" dxfId="3">
      <formula>0</formula>
    </cfRule>
  </conditionalFormatting>
  <conditionalFormatting sqref="H8:I33">
    <cfRule type="cellIs" priority="3" operator="lessThan" aboveAverage="0" equalAverage="0" bottom="0" percent="0" rank="0" text="" dxfId="3">
      <formula>0</formula>
    </cfRule>
  </conditionalFormatting>
  <conditionalFormatting sqref="A4">
    <cfRule type="expression" priority="4" aboveAverage="0" equalAverage="0" bottom="0" percent="0" rank="0" text="" dxfId="4">
      <formula>LEFT($A$4,2)="OK"</formula>
    </cfRule>
    <cfRule type="expression" priority="5" aboveAverage="0" equalAverage="0" bottom="0" percent="0" rank="0" text="" dxfId="5">
      <formula>LEFT($A$4,5)="ERROR"</formula>
    </cfRule>
    <cfRule type="expression" priority="6" aboveAverage="0" equalAverage="0" bottom="0" percent="0" rank="0" text="" dxfId="4">
      <formula>LEFT($A$4,2)="OK"</formula>
    </cfRule>
  </conditionalFormatting>
  <hyperlinks>
    <hyperlink ref="A5" r:id="rId1" display="Need help with management accounts, annual financial statements or tax returns? Visit llba.co.za"/>
  </hyperlinks>
  <printOptions headings="false" gridLines="false" gridLinesSet="true" horizontalCentered="true" verticalCentered="false"/>
  <pageMargins left="0.5" right="0.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&amp;LFree template by LBA Accounting - llba.co.za&amp;RPage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5" min="2" style="0" width="16"/>
  </cols>
  <sheetData>
    <row r="1" customFormat="false" ht="17.35" hidden="false" customHeight="false" outlineLevel="0" collapsed="false">
      <c r="A1" s="15" t="str">
        <f aca="false">Setup!B4</f>
        <v>Sample Trading (Pty) Ltd - FICTIONAL EXAMPLE</v>
      </c>
    </row>
    <row r="2" customFormat="false" ht="15" hidden="false" customHeight="false" outlineLevel="0" collapsed="false">
      <c r="A2" s="5" t="s">
        <v>238</v>
      </c>
    </row>
    <row r="3" customFormat="false" ht="15" hidden="false" customHeight="false" outlineLevel="0" collapsed="false">
      <c r="A3" s="16" t="str">
        <f aca="false">"As at "&amp;TEXT(Setup!B16,"d mmmm yyyy")</f>
        <v>As at 30 September 2026</v>
      </c>
    </row>
    <row r="4" customFormat="false" ht="15" hidden="false" customHeight="false" outlineLevel="0" collapsed="false">
      <c r="A4" s="45" t="str">
        <f aca="false">Checks!$C$3</f>
        <v>OK - all checks passed</v>
      </c>
    </row>
    <row r="5" customFormat="false" ht="15" hidden="false" customHeight="false" outlineLevel="0" collapsed="false">
      <c r="A5" s="46" t="s">
        <v>210</v>
      </c>
      <c r="B5" s="30" t="s">
        <v>239</v>
      </c>
      <c r="C5" s="30" t="s">
        <v>240</v>
      </c>
      <c r="D5" s="30" t="s">
        <v>241</v>
      </c>
    </row>
    <row r="6" customFormat="false" ht="15" hidden="false" customHeight="false" outlineLevel="0" collapsed="false">
      <c r="A6" s="26" t="s">
        <v>212</v>
      </c>
      <c r="B6" s="41" t="str">
        <f aca="false">TEXT(Setup!B16,"dd mmm yyyy")</f>
        <v>30 Sep 2026</v>
      </c>
      <c r="C6" s="54" t="n">
        <f aca="false">EOMONTH(Setup!B16,-1)</f>
        <v>46265</v>
      </c>
      <c r="D6" s="54" t="n">
        <f aca="false">Setup!B15-1</f>
        <v>46022</v>
      </c>
      <c r="E6" s="27" t="s">
        <v>242</v>
      </c>
    </row>
    <row r="7" customFormat="false" ht="15" hidden="false" customHeight="false" outlineLevel="0" collapsed="false">
      <c r="A7" s="55" t="s">
        <v>243</v>
      </c>
      <c r="B7" s="56"/>
      <c r="C7" s="56"/>
      <c r="D7" s="56"/>
      <c r="E7" s="56"/>
    </row>
    <row r="8" customFormat="false" ht="15" hidden="false" customHeight="false" outlineLevel="0" collapsed="false">
      <c r="A8" s="21" t="s">
        <v>244</v>
      </c>
    </row>
    <row r="9" customFormat="false" ht="15" hidden="false" customHeight="false" outlineLevel="0" collapsed="false">
      <c r="A9" s="12" t="s">
        <v>245</v>
      </c>
      <c r="B9" s="48" t="n">
        <f aca="false">Calc!$C23*INDEX(Calc!$D23:$P23,Setup!$B$7+1)</f>
        <v>1008000</v>
      </c>
      <c r="C9" s="48" t="n">
        <f aca="false">Calc!$C23*INDEX(Calc!$D23:$P23,Setup!$B$7)</f>
        <v>1026250</v>
      </c>
      <c r="D9" s="48" t="n">
        <f aca="false">Calc!$C23*Calc!$D23</f>
        <v>930000</v>
      </c>
      <c r="E9" s="48" t="n">
        <f aca="false">B9-D9</f>
        <v>78000</v>
      </c>
    </row>
    <row r="10" customFormat="false" ht="15" hidden="false" customHeight="false" outlineLevel="0" collapsed="false">
      <c r="A10" s="12" t="s">
        <v>246</v>
      </c>
      <c r="B10" s="48" t="n">
        <f aca="false">Calc!$C24*INDEX(Calc!$D24:$P24,Setup!$B$7+1)</f>
        <v>66500</v>
      </c>
      <c r="C10" s="48" t="n">
        <f aca="false">Calc!$C24*INDEX(Calc!$D24:$P24,Setup!$B$7)</f>
        <v>68000</v>
      </c>
      <c r="D10" s="48" t="n">
        <f aca="false">Calc!$C24*Calc!$D24</f>
        <v>80000</v>
      </c>
      <c r="E10" s="48" t="n">
        <f aca="false">B10-D10</f>
        <v>-13500</v>
      </c>
    </row>
    <row r="11" customFormat="false" ht="15" hidden="false" customHeight="false" outlineLevel="0" collapsed="false">
      <c r="A11" s="12" t="s">
        <v>247</v>
      </c>
      <c r="B11" s="48" t="n">
        <f aca="false">Calc!$C25*INDEX(Calc!$D25:$P25,Setup!$B$7+1)</f>
        <v>60000</v>
      </c>
      <c r="C11" s="48" t="n">
        <f aca="false">Calc!$C25*INDEX(Calc!$D25:$P25,Setup!$B$7)</f>
        <v>60000</v>
      </c>
      <c r="D11" s="48" t="n">
        <f aca="false">Calc!$C25*Calc!$D25</f>
        <v>60000</v>
      </c>
      <c r="E11" s="48" t="n">
        <f aca="false">B11-D11</f>
        <v>0</v>
      </c>
    </row>
    <row r="12" customFormat="false" ht="15" hidden="false" customHeight="false" outlineLevel="0" collapsed="false">
      <c r="A12" s="37" t="s">
        <v>248</v>
      </c>
      <c r="B12" s="39" t="n">
        <f aca="false">SUM(B9:B11)</f>
        <v>1134500</v>
      </c>
      <c r="C12" s="39" t="n">
        <f aca="false">SUM(C9:C11)</f>
        <v>1154250</v>
      </c>
      <c r="D12" s="39" t="n">
        <f aca="false">SUM(D9:D11)</f>
        <v>1070000</v>
      </c>
      <c r="E12" s="39" t="n">
        <f aca="false">SUM(E9:E11)</f>
        <v>64500</v>
      </c>
    </row>
    <row r="13" customFormat="false" ht="15" hidden="false" customHeight="false" outlineLevel="0" collapsed="false">
      <c r="A13" s="21" t="s">
        <v>249</v>
      </c>
    </row>
    <row r="14" customFormat="false" ht="15" hidden="false" customHeight="false" outlineLevel="0" collapsed="false">
      <c r="A14" s="12" t="s">
        <v>250</v>
      </c>
      <c r="B14" s="48" t="n">
        <f aca="false">Calc!$C26*INDEX(Calc!$D26:$P26,Setup!$B$7+1)</f>
        <v>731399</v>
      </c>
      <c r="C14" s="48" t="n">
        <f aca="false">Calc!$C26*INDEX(Calc!$D26:$P26,Setup!$B$7)</f>
        <v>717272</v>
      </c>
      <c r="D14" s="48" t="n">
        <f aca="false">Calc!$C26*Calc!$D26</f>
        <v>640000</v>
      </c>
      <c r="E14" s="48" t="n">
        <f aca="false">B14-D14</f>
        <v>91399</v>
      </c>
    </row>
    <row r="15" customFormat="false" ht="15" hidden="false" customHeight="false" outlineLevel="0" collapsed="false">
      <c r="A15" s="12" t="s">
        <v>251</v>
      </c>
      <c r="B15" s="48" t="n">
        <f aca="false">Calc!$C27*INDEX(Calc!$D27:$P27,Setup!$B$7+1)</f>
        <v>1309893</v>
      </c>
      <c r="C15" s="48" t="n">
        <f aca="false">Calc!$C27*INDEX(Calc!$D27:$P27,Setup!$B$7)</f>
        <v>1275486</v>
      </c>
      <c r="D15" s="48" t="n">
        <f aca="false">Calc!$C27*Calc!$D27</f>
        <v>1010000</v>
      </c>
      <c r="E15" s="48" t="n">
        <f aca="false">B15-D15</f>
        <v>299893</v>
      </c>
    </row>
    <row r="16" customFormat="false" ht="15" hidden="false" customHeight="false" outlineLevel="0" collapsed="false">
      <c r="A16" s="12" t="s">
        <v>252</v>
      </c>
      <c r="B16" s="48" t="n">
        <f aca="false">Calc!$C28*INDEX(Calc!$D28:$P28,Setup!$B$7+1)</f>
        <v>97000</v>
      </c>
      <c r="C16" s="48" t="n">
        <f aca="false">Calc!$C28*INDEX(Calc!$D28:$P28,Setup!$B$7)</f>
        <v>97000</v>
      </c>
      <c r="D16" s="48" t="n">
        <f aca="false">Calc!$C28*Calc!$D28</f>
        <v>97000</v>
      </c>
      <c r="E16" s="48" t="n">
        <f aca="false">B16-D16</f>
        <v>0</v>
      </c>
    </row>
    <row r="17" customFormat="false" ht="15" hidden="false" customHeight="false" outlineLevel="0" collapsed="false">
      <c r="A17" s="12" t="s">
        <v>253</v>
      </c>
      <c r="B17" s="48" t="n">
        <f aca="false">Calc!$C29*INDEX(Calc!$D29:$P29,Setup!$B$7+1)</f>
        <v>501580</v>
      </c>
      <c r="C17" s="48" t="n">
        <f aca="false">Calc!$C29*INDEX(Calc!$D29:$P29,Setup!$B$7)</f>
        <v>460667</v>
      </c>
      <c r="D17" s="48" t="n">
        <f aca="false">Calc!$C29*Calc!$D29</f>
        <v>1103000</v>
      </c>
      <c r="E17" s="48" t="n">
        <f aca="false">B17-D17</f>
        <v>-601420</v>
      </c>
    </row>
    <row r="18" customFormat="false" ht="15" hidden="false" customHeight="false" outlineLevel="0" collapsed="false">
      <c r="A18" s="37" t="s">
        <v>254</v>
      </c>
      <c r="B18" s="39" t="n">
        <f aca="false">SUM(B14:B17)</f>
        <v>2639872</v>
      </c>
      <c r="C18" s="39" t="n">
        <f aca="false">SUM(C14:C17)</f>
        <v>2550425</v>
      </c>
      <c r="D18" s="39" t="n">
        <f aca="false">SUM(D14:D17)</f>
        <v>2850000</v>
      </c>
      <c r="E18" s="39" t="n">
        <f aca="false">SUM(E14:E17)</f>
        <v>-210128</v>
      </c>
    </row>
    <row r="19" customFormat="false" ht="15" hidden="false" customHeight="false" outlineLevel="0" collapsed="false">
      <c r="A19" s="43" t="s">
        <v>255</v>
      </c>
      <c r="B19" s="44" t="n">
        <f aca="false">B12+B18</f>
        <v>3774372</v>
      </c>
      <c r="C19" s="44" t="n">
        <f aca="false">C12+C18</f>
        <v>3704675</v>
      </c>
      <c r="D19" s="44" t="n">
        <f aca="false">D12+D18</f>
        <v>3920000</v>
      </c>
      <c r="E19" s="44" t="n">
        <f aca="false">E12+E18</f>
        <v>-145628</v>
      </c>
    </row>
    <row r="21" customFormat="false" ht="15" hidden="false" customHeight="false" outlineLevel="0" collapsed="false">
      <c r="A21" s="55" t="s">
        <v>256</v>
      </c>
      <c r="B21" s="56"/>
      <c r="C21" s="56"/>
      <c r="D21" s="56"/>
      <c r="E21" s="56"/>
    </row>
    <row r="22" customFormat="false" ht="15" hidden="false" customHeight="false" outlineLevel="0" collapsed="false">
      <c r="A22" s="21" t="s">
        <v>257</v>
      </c>
    </row>
    <row r="23" customFormat="false" ht="15" hidden="false" customHeight="false" outlineLevel="0" collapsed="false">
      <c r="A23" s="12" t="s">
        <v>258</v>
      </c>
      <c r="B23" s="48" t="n">
        <f aca="false">Calc!$C30*INDEX(Calc!$D30:$P30,Setup!$B$7+1)</f>
        <v>100</v>
      </c>
      <c r="C23" s="48" t="n">
        <f aca="false">Calc!$C30*INDEX(Calc!$D30:$P30,Setup!$B$7)</f>
        <v>100</v>
      </c>
      <c r="D23" s="48" t="n">
        <f aca="false">Calc!$C30*Calc!$D30</f>
        <v>100</v>
      </c>
      <c r="E23" s="48" t="n">
        <f aca="false">B23-D23</f>
        <v>0</v>
      </c>
    </row>
    <row r="24" customFormat="false" ht="15" hidden="false" customHeight="false" outlineLevel="0" collapsed="false">
      <c r="A24" s="12" t="s">
        <v>259</v>
      </c>
      <c r="B24" s="48" t="n">
        <f aca="false">Calc!$C31*INDEX(Calc!$D31:$P31,Setup!$B$7+1)</f>
        <v>1640900</v>
      </c>
      <c r="C24" s="48" t="n">
        <f aca="false">Calc!$C31*INDEX(Calc!$D31:$P31,Setup!$B$7)</f>
        <v>1640900</v>
      </c>
      <c r="D24" s="48" t="n">
        <f aca="false">Calc!$C31*Calc!$D31</f>
        <v>1640900</v>
      </c>
      <c r="E24" s="48" t="n">
        <f aca="false">B24-D24</f>
        <v>0</v>
      </c>
    </row>
    <row r="25" customFormat="false" ht="15" hidden="false" customHeight="false" outlineLevel="0" collapsed="false">
      <c r="A25" s="12" t="s">
        <v>260</v>
      </c>
      <c r="B25" s="48" t="n">
        <f aca="false">Calc!$C32*INDEX(Calc!$D32:$P32,Setup!$B$7+1)</f>
        <v>-100000</v>
      </c>
      <c r="C25" s="48" t="n">
        <f aca="false">Calc!$C32*INDEX(Calc!$D32:$P32,Setup!$B$7)</f>
        <v>-100000</v>
      </c>
      <c r="D25" s="48" t="n">
        <f aca="false">Calc!$C32*Calc!$D32</f>
        <v>-0</v>
      </c>
      <c r="E25" s="48" t="n">
        <f aca="false">B25-D25</f>
        <v>-100000</v>
      </c>
    </row>
    <row r="26" customFormat="false" ht="15" hidden="false" customHeight="false" outlineLevel="0" collapsed="false">
      <c r="A26" s="12" t="s">
        <v>261</v>
      </c>
      <c r="B26" s="48" t="n">
        <f aca="false">INDEX(Calc!$D$42:$P$42,Setup!$B$7+1)</f>
        <v>308991</v>
      </c>
      <c r="C26" s="48" t="n">
        <f aca="false">INDEX(Calc!$D$42:$P$42,Setup!$B$7)</f>
        <v>247082</v>
      </c>
      <c r="D26" s="48" t="n">
        <f aca="false">Calc!$D$42</f>
        <v>0</v>
      </c>
      <c r="E26" s="48" t="n">
        <f aca="false">B26-D26</f>
        <v>308991</v>
      </c>
    </row>
    <row r="27" customFormat="false" ht="15" hidden="false" customHeight="false" outlineLevel="0" collapsed="false">
      <c r="A27" s="37" t="s">
        <v>262</v>
      </c>
      <c r="B27" s="39" t="n">
        <f aca="false">SUM(B23:B26)</f>
        <v>1849991</v>
      </c>
      <c r="C27" s="39" t="n">
        <f aca="false">SUM(C23:C26)</f>
        <v>1788082</v>
      </c>
      <c r="D27" s="39" t="n">
        <f aca="false">SUM(D23:D26)</f>
        <v>1641000</v>
      </c>
      <c r="E27" s="39" t="n">
        <f aca="false">SUM(E23:E26)</f>
        <v>208991</v>
      </c>
    </row>
    <row r="28" customFormat="false" ht="15" hidden="false" customHeight="false" outlineLevel="0" collapsed="false">
      <c r="A28" s="21" t="s">
        <v>263</v>
      </c>
    </row>
    <row r="29" customFormat="false" ht="15" hidden="false" customHeight="false" outlineLevel="0" collapsed="false">
      <c r="A29" s="12" t="s">
        <v>264</v>
      </c>
      <c r="B29" s="48" t="n">
        <f aca="false">Calc!$C33*INDEX(Calc!$D33:$P33,Setup!$B$7+1)</f>
        <v>512000</v>
      </c>
      <c r="C29" s="48" t="n">
        <f aca="false">Calc!$C33*INDEX(Calc!$D33:$P33,Setup!$B$7)</f>
        <v>524000</v>
      </c>
      <c r="D29" s="48" t="n">
        <f aca="false">Calc!$C33*Calc!$D33</f>
        <v>620000</v>
      </c>
      <c r="E29" s="48" t="n">
        <f aca="false">B29-D29</f>
        <v>-108000</v>
      </c>
    </row>
    <row r="30" customFormat="false" ht="15" hidden="false" customHeight="false" outlineLevel="0" collapsed="false">
      <c r="A30" s="12" t="s">
        <v>265</v>
      </c>
      <c r="B30" s="48" t="n">
        <f aca="false">Calc!$C34*INDEX(Calc!$D34:$P34,Setup!$B$7+1)</f>
        <v>280000</v>
      </c>
      <c r="C30" s="48" t="n">
        <f aca="false">Calc!$C34*INDEX(Calc!$D34:$P34,Setup!$B$7)</f>
        <v>280000</v>
      </c>
      <c r="D30" s="48" t="n">
        <f aca="false">Calc!$C34*Calc!$D34</f>
        <v>300000</v>
      </c>
      <c r="E30" s="48" t="n">
        <f aca="false">B30-D30</f>
        <v>-20000</v>
      </c>
    </row>
    <row r="31" customFormat="false" ht="15" hidden="false" customHeight="false" outlineLevel="0" collapsed="false">
      <c r="A31" s="37" t="s">
        <v>266</v>
      </c>
      <c r="B31" s="39" t="n">
        <f aca="false">SUM(B29:B30)</f>
        <v>792000</v>
      </c>
      <c r="C31" s="39" t="n">
        <f aca="false">SUM(C29:C30)</f>
        <v>804000</v>
      </c>
      <c r="D31" s="39" t="n">
        <f aca="false">SUM(D29:D30)</f>
        <v>920000</v>
      </c>
      <c r="E31" s="39" t="n">
        <f aca="false">SUM(E29:E30)</f>
        <v>-128000</v>
      </c>
    </row>
    <row r="32" customFormat="false" ht="15" hidden="false" customHeight="false" outlineLevel="0" collapsed="false">
      <c r="A32" s="21" t="s">
        <v>267</v>
      </c>
    </row>
    <row r="33" customFormat="false" ht="15" hidden="false" customHeight="false" outlineLevel="0" collapsed="false">
      <c r="A33" s="12" t="s">
        <v>268</v>
      </c>
      <c r="B33" s="48" t="n">
        <f aca="false">Calc!$C35*INDEX(Calc!$D35:$P35,Setup!$B$7+1)</f>
        <v>868605</v>
      </c>
      <c r="C33" s="48" t="n">
        <f aca="false">Calc!$C35*INDEX(Calc!$D35:$P35,Setup!$B$7)</f>
        <v>841811</v>
      </c>
      <c r="D33" s="48" t="n">
        <f aca="false">Calc!$C35*Calc!$D35</f>
        <v>690000</v>
      </c>
      <c r="E33" s="48" t="n">
        <f aca="false">B33-D33</f>
        <v>178605</v>
      </c>
    </row>
    <row r="34" customFormat="false" ht="15" hidden="false" customHeight="false" outlineLevel="0" collapsed="false">
      <c r="A34" s="12" t="s">
        <v>269</v>
      </c>
      <c r="B34" s="48" t="n">
        <f aca="false">Calc!$C36*INDEX(Calc!$D36:$P36,Setup!$B$7+1)</f>
        <v>90000</v>
      </c>
      <c r="C34" s="48" t="n">
        <f aca="false">Calc!$C36*INDEX(Calc!$D36:$P36,Setup!$B$7)</f>
        <v>76000</v>
      </c>
      <c r="D34" s="48" t="n">
        <f aca="false">Calc!$C36*Calc!$D36</f>
        <v>160000</v>
      </c>
      <c r="E34" s="48" t="n">
        <f aca="false">B34-D34</f>
        <v>-70000</v>
      </c>
    </row>
    <row r="35" customFormat="false" ht="15" hidden="false" customHeight="false" outlineLevel="0" collapsed="false">
      <c r="A35" s="12" t="s">
        <v>270</v>
      </c>
      <c r="B35" s="48" t="n">
        <f aca="false">Calc!$C37*INDEX(Calc!$D37:$P37,Setup!$B$7+1)</f>
        <v>37308</v>
      </c>
      <c r="C35" s="48" t="n">
        <f aca="false">Calc!$C37*INDEX(Calc!$D37:$P37,Setup!$B$7)</f>
        <v>66332</v>
      </c>
      <c r="D35" s="48" t="n">
        <f aca="false">Calc!$C37*Calc!$D37</f>
        <v>95000</v>
      </c>
      <c r="E35" s="48" t="n">
        <f aca="false">B35-D35</f>
        <v>-57692</v>
      </c>
    </row>
    <row r="36" customFormat="false" ht="15" hidden="false" customHeight="false" outlineLevel="0" collapsed="false">
      <c r="A36" s="12" t="s">
        <v>271</v>
      </c>
      <c r="B36" s="48" t="n">
        <f aca="false">Calc!$C38*INDEX(Calc!$D38:$P38,Setup!$B$7+1)</f>
        <v>25080</v>
      </c>
      <c r="C36" s="48" t="n">
        <f aca="false">Calc!$C38*INDEX(Calc!$D38:$P38,Setup!$B$7)</f>
        <v>24960</v>
      </c>
      <c r="D36" s="48" t="n">
        <f aca="false">Calc!$C38*Calc!$D38</f>
        <v>24000</v>
      </c>
      <c r="E36" s="48" t="n">
        <f aca="false">B36-D36</f>
        <v>1080</v>
      </c>
    </row>
    <row r="37" customFormat="false" ht="15" hidden="false" customHeight="false" outlineLevel="0" collapsed="false">
      <c r="A37" s="12" t="s">
        <v>272</v>
      </c>
      <c r="B37" s="48" t="n">
        <f aca="false">Calc!$C39*INDEX(Calc!$D39:$P39,Setup!$B$7+1)</f>
        <v>66388</v>
      </c>
      <c r="C37" s="48" t="n">
        <f aca="false">Calc!$C39*INDEX(Calc!$D39:$P39,Setup!$B$7)</f>
        <v>43490</v>
      </c>
      <c r="D37" s="48" t="n">
        <f aca="false">Calc!$C39*Calc!$D39</f>
        <v>210000</v>
      </c>
      <c r="E37" s="48" t="n">
        <f aca="false">B37-D37</f>
        <v>-143612</v>
      </c>
    </row>
    <row r="38" customFormat="false" ht="15" hidden="false" customHeight="false" outlineLevel="0" collapsed="false">
      <c r="A38" s="12" t="s">
        <v>273</v>
      </c>
      <c r="B38" s="48" t="n">
        <f aca="false">Calc!$C40*INDEX(Calc!$D40:$P40,Setup!$B$7+1)</f>
        <v>45000</v>
      </c>
      <c r="C38" s="48" t="n">
        <f aca="false">Calc!$C40*INDEX(Calc!$D40:$P40,Setup!$B$7)</f>
        <v>60000</v>
      </c>
      <c r="D38" s="48" t="n">
        <f aca="false">Calc!$C40*Calc!$D40</f>
        <v>180000</v>
      </c>
      <c r="E38" s="48" t="n">
        <f aca="false">B38-D38</f>
        <v>-135000</v>
      </c>
    </row>
    <row r="39" customFormat="false" ht="15" hidden="false" customHeight="false" outlineLevel="0" collapsed="false">
      <c r="A39" s="12" t="s">
        <v>274</v>
      </c>
      <c r="B39" s="48" t="n">
        <f aca="false">Calc!$C41*INDEX(Calc!$D41:$P41,Setup!$B$7+1)</f>
        <v>-0</v>
      </c>
      <c r="C39" s="48" t="n">
        <f aca="false">Calc!$C41*INDEX(Calc!$D41:$P41,Setup!$B$7)</f>
        <v>-0</v>
      </c>
      <c r="D39" s="48" t="n">
        <f aca="false">Calc!$C41*Calc!$D41</f>
        <v>-0</v>
      </c>
      <c r="E39" s="48" t="n">
        <f aca="false">B39-D39</f>
        <v>0</v>
      </c>
    </row>
    <row r="40" customFormat="false" ht="15" hidden="false" customHeight="false" outlineLevel="0" collapsed="false">
      <c r="A40" s="37" t="s">
        <v>275</v>
      </c>
      <c r="B40" s="39" t="n">
        <f aca="false">SUM(B33:B39)</f>
        <v>1132381</v>
      </c>
      <c r="C40" s="39" t="n">
        <f aca="false">SUM(C33:C39)</f>
        <v>1112593</v>
      </c>
      <c r="D40" s="39" t="n">
        <f aca="false">SUM(D33:D39)</f>
        <v>1359000</v>
      </c>
      <c r="E40" s="39" t="n">
        <f aca="false">SUM(E33:E39)</f>
        <v>-226619</v>
      </c>
    </row>
    <row r="41" customFormat="false" ht="15" hidden="false" customHeight="false" outlineLevel="0" collapsed="false">
      <c r="A41" s="37" t="s">
        <v>276</v>
      </c>
      <c r="B41" s="39" t="n">
        <f aca="false">B31+B40</f>
        <v>1924381</v>
      </c>
      <c r="C41" s="39" t="n">
        <f aca="false">C31+C40</f>
        <v>1916593</v>
      </c>
      <c r="D41" s="39" t="n">
        <f aca="false">D31+D40</f>
        <v>2279000</v>
      </c>
      <c r="E41" s="39" t="n">
        <f aca="false">E31+E40</f>
        <v>-354619</v>
      </c>
    </row>
    <row r="42" customFormat="false" ht="15" hidden="false" customHeight="false" outlineLevel="0" collapsed="false">
      <c r="A42" s="43" t="s">
        <v>277</v>
      </c>
      <c r="B42" s="44" t="n">
        <f aca="false">B27+B41</f>
        <v>3774372</v>
      </c>
      <c r="C42" s="44" t="n">
        <f aca="false">C27+C41</f>
        <v>3704675</v>
      </c>
      <c r="D42" s="44" t="n">
        <f aca="false">D27+D41</f>
        <v>3920000</v>
      </c>
      <c r="E42" s="44" t="n">
        <f aca="false">E27+E41</f>
        <v>-145628</v>
      </c>
    </row>
    <row r="44" customFormat="false" ht="15" hidden="false" customHeight="false" outlineLevel="0" collapsed="false">
      <c r="A44" s="51" t="s">
        <v>278</v>
      </c>
      <c r="B44" s="57" t="n">
        <f aca="false">B19-B42</f>
        <v>0</v>
      </c>
      <c r="C44" s="57" t="n">
        <f aca="false">C19-C42</f>
        <v>0</v>
      </c>
      <c r="D44" s="57" t="n">
        <f aca="false">D19-D42</f>
        <v>0</v>
      </c>
    </row>
    <row r="45" customFormat="false" ht="15" hidden="false" customHeight="false" outlineLevel="0" collapsed="false">
      <c r="A45" s="16" t="s">
        <v>279</v>
      </c>
    </row>
  </sheetData>
  <sheetProtection sheet="true" formatColumns="false" formatRows="false"/>
  <conditionalFormatting sqref="E9:E42">
    <cfRule type="cellIs" priority="2" operator="lessThan" aboveAverage="0" equalAverage="0" bottom="0" percent="0" rank="0" text="" dxfId="3">
      <formula>0</formula>
    </cfRule>
  </conditionalFormatting>
  <conditionalFormatting sqref="A4">
    <cfRule type="expression" priority="3" aboveAverage="0" equalAverage="0" bottom="0" percent="0" rank="0" text="" dxfId="4">
      <formula>LEFT($A$4,2)="OK"</formula>
    </cfRule>
    <cfRule type="expression" priority="4" aboveAverage="0" equalAverage="0" bottom="0" percent="0" rank="0" text="" dxfId="5">
      <formula>LEFT($A$4,5)="ERROR"</formula>
    </cfRule>
    <cfRule type="expression" priority="5" aboveAverage="0" equalAverage="0" bottom="0" percent="0" rank="0" text="" dxfId="4">
      <formula>LEFT($A$4,2)="OK"</formula>
    </cfRule>
  </conditionalFormatting>
  <hyperlinks>
    <hyperlink ref="A5" r:id="rId1" display="Need help with management accounts, annual financial statements or tax returns? Visit llba.co.za"/>
  </hyperlinks>
  <printOptions headings="false" gridLines="false" gridLinesSet="true" horizontalCentered="true" verticalCentered="false"/>
  <pageMargins left="0.5" right="0.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&amp;LFree template by LBA Accounting - llba.co.za&amp;RPage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66"/>
    <col collapsed="false" customWidth="true" hidden="false" outlineLevel="0" max="3" min="2" style="0" width="18"/>
  </cols>
  <sheetData>
    <row r="1" customFormat="false" ht="17.35" hidden="false" customHeight="false" outlineLevel="0" collapsed="false">
      <c r="A1" s="15" t="str">
        <f aca="false">Setup!B4</f>
        <v>Sample Trading (Pty) Ltd - FICTIONAL EXAMPLE</v>
      </c>
    </row>
    <row r="2" customFormat="false" ht="15" hidden="false" customHeight="false" outlineLevel="0" collapsed="false">
      <c r="A2" s="5" t="s">
        <v>280</v>
      </c>
    </row>
    <row r="3" customFormat="false" ht="15" hidden="false" customHeight="false" outlineLevel="0" collapsed="false">
      <c r="A3" s="16" t="str">
        <f aca="false">"For the month ended "&amp;TEXT(Setup!B16,"d mmmm yyyy")&amp;" and year to date"</f>
        <v>For the month ended 30 September 2026 and year to date</v>
      </c>
    </row>
    <row r="4" customFormat="false" ht="15" hidden="false" customHeight="false" outlineLevel="0" collapsed="false">
      <c r="A4" s="45" t="str">
        <f aca="false">Checks!$C$3</f>
        <v>OK - all checks passed</v>
      </c>
    </row>
    <row r="5" customFormat="false" ht="15" hidden="false" customHeight="false" outlineLevel="0" collapsed="false">
      <c r="A5" s="46" t="s">
        <v>210</v>
      </c>
    </row>
    <row r="6" customFormat="false" ht="15" hidden="false" customHeight="false" outlineLevel="0" collapsed="false">
      <c r="A6" s="26" t="s">
        <v>212</v>
      </c>
      <c r="B6" s="41" t="str">
        <f aca="false">TEXT(Setup!B16,"mmmm yyyy")</f>
        <v>September 2026</v>
      </c>
      <c r="C6" s="27" t="s">
        <v>211</v>
      </c>
    </row>
    <row r="7" customFormat="false" ht="15" hidden="false" customHeight="false" outlineLevel="0" collapsed="false">
      <c r="A7" s="55" t="s">
        <v>281</v>
      </c>
      <c r="B7" s="56"/>
      <c r="C7" s="56"/>
    </row>
    <row r="8" customFormat="false" ht="15" hidden="false" customHeight="false" outlineLevel="0" collapsed="false">
      <c r="A8" s="12" t="s">
        <v>282</v>
      </c>
      <c r="B8" s="48" t="n">
        <f aca="false">INDEX(Calc!$E$44:$P$44,Setup!$B$7)</f>
        <v>61909</v>
      </c>
      <c r="C8" s="48" t="n">
        <f aca="false">SUMIF(Calc!$E$3:$P$3,"&lt;="&amp;Setup!$B$7,Calc!$E$44:$P$44)</f>
        <v>308991</v>
      </c>
    </row>
    <row r="9" customFormat="false" ht="15" hidden="false" customHeight="false" outlineLevel="0" collapsed="false">
      <c r="A9" s="12" t="s">
        <v>283</v>
      </c>
      <c r="B9" s="48" t="n">
        <f aca="false">INDEX(Calc!$E$81:$P$81,Setup!$B$7)</f>
        <v>19750</v>
      </c>
      <c r="C9" s="48" t="n">
        <f aca="false">INDEX(Calc!$E$61:$P$61,Setup!$B$7)</f>
        <v>160500</v>
      </c>
    </row>
    <row r="10" customFormat="false" ht="15" hidden="false" customHeight="false" outlineLevel="0" collapsed="false">
      <c r="A10" s="12" t="s">
        <v>284</v>
      </c>
      <c r="B10" s="48" t="n">
        <f aca="false">INDEX(Calc!$E$131:$P$131,Setup!$B$7)</f>
        <v>-14127</v>
      </c>
      <c r="C10" s="48" t="n">
        <f aca="false">SUMIF(Calc!$E$3:$P$3,"&lt;="&amp;Setup!$B$7,Calc!$E$131:$P$131)</f>
        <v>-91399</v>
      </c>
    </row>
    <row r="11" customFormat="false" ht="15" hidden="false" customHeight="false" outlineLevel="0" collapsed="false">
      <c r="A11" s="12" t="s">
        <v>285</v>
      </c>
      <c r="B11" s="48" t="n">
        <f aca="false">INDEX(Calc!$E$132:$P$132,Setup!$B$7)</f>
        <v>-34407</v>
      </c>
      <c r="C11" s="48" t="n">
        <f aca="false">SUMIF(Calc!$E$3:$P$3,"&lt;="&amp;Setup!$B$7,Calc!$E$132:$P$132)</f>
        <v>-299893</v>
      </c>
    </row>
    <row r="12" customFormat="false" ht="15" hidden="false" customHeight="false" outlineLevel="0" collapsed="false">
      <c r="A12" s="12" t="s">
        <v>286</v>
      </c>
      <c r="B12" s="48" t="n">
        <f aca="false">INDEX(Calc!$E$133:$P$133,Setup!$B$7)</f>
        <v>-0</v>
      </c>
      <c r="C12" s="48" t="n">
        <f aca="false">SUMIF(Calc!$E$3:$P$3,"&lt;="&amp;Setup!$B$7,Calc!$E$133:$P$133)</f>
        <v>0</v>
      </c>
    </row>
    <row r="13" customFormat="false" ht="15" hidden="false" customHeight="false" outlineLevel="0" collapsed="false">
      <c r="A13" s="12" t="s">
        <v>287</v>
      </c>
      <c r="B13" s="48" t="n">
        <f aca="false">INDEX(Calc!$E$140:$P$140,Setup!$B$7)</f>
        <v>26794</v>
      </c>
      <c r="C13" s="48" t="n">
        <f aca="false">SUMIF(Calc!$E$3:$P$3,"&lt;="&amp;Setup!$B$7,Calc!$E$140:$P$140)</f>
        <v>178605</v>
      </c>
    </row>
    <row r="14" customFormat="false" ht="15" hidden="false" customHeight="false" outlineLevel="0" collapsed="false">
      <c r="A14" s="12" t="s">
        <v>288</v>
      </c>
      <c r="B14" s="48" t="n">
        <f aca="false">INDEX(Calc!$E$141:$P$141,Setup!$B$7)</f>
        <v>14000</v>
      </c>
      <c r="C14" s="48" t="n">
        <f aca="false">SUMIF(Calc!$E$3:$P$3,"&lt;="&amp;Setup!$B$7,Calc!$E$141:$P$141)</f>
        <v>-70000</v>
      </c>
    </row>
    <row r="15" customFormat="false" ht="15" hidden="false" customHeight="false" outlineLevel="0" collapsed="false">
      <c r="A15" s="12" t="s">
        <v>289</v>
      </c>
      <c r="B15" s="48" t="n">
        <f aca="false">INDEX(Calc!$E$142:$P$142,Setup!$B$7)</f>
        <v>-29024</v>
      </c>
      <c r="C15" s="48" t="n">
        <f aca="false">SUMIF(Calc!$E$3:$P$3,"&lt;="&amp;Setup!$B$7,Calc!$E$142:$P$142)</f>
        <v>-57692</v>
      </c>
    </row>
    <row r="16" customFormat="false" ht="15" hidden="false" customHeight="false" outlineLevel="0" collapsed="false">
      <c r="A16" s="12" t="s">
        <v>290</v>
      </c>
      <c r="B16" s="48" t="n">
        <f aca="false">INDEX(Calc!$E$143:$P$143,Setup!$B$7)</f>
        <v>120</v>
      </c>
      <c r="C16" s="48" t="n">
        <f aca="false">SUMIF(Calc!$E$3:$P$3,"&lt;="&amp;Setup!$B$7,Calc!$E$143:$P$143)</f>
        <v>1080</v>
      </c>
    </row>
    <row r="17" customFormat="false" ht="15" hidden="false" customHeight="false" outlineLevel="0" collapsed="false">
      <c r="A17" s="12" t="s">
        <v>291</v>
      </c>
      <c r="B17" s="48" t="n">
        <f aca="false">INDEX(Calc!$E$144:$P$144,Setup!$B$7)</f>
        <v>22898</v>
      </c>
      <c r="C17" s="48" t="n">
        <f aca="false">SUMIF(Calc!$E$3:$P$3,"&lt;="&amp;Setup!$B$7,Calc!$E$144:$P$144)</f>
        <v>-143612</v>
      </c>
    </row>
    <row r="18" customFormat="false" ht="15" hidden="false" customHeight="false" outlineLevel="0" collapsed="false">
      <c r="A18" s="37" t="s">
        <v>292</v>
      </c>
      <c r="B18" s="39" t="n">
        <f aca="false">SUM(B8:B17)</f>
        <v>67913</v>
      </c>
      <c r="C18" s="39" t="n">
        <f aca="false">SUM(C8:C17)</f>
        <v>-13420</v>
      </c>
    </row>
    <row r="20" customFormat="false" ht="15" hidden="false" customHeight="false" outlineLevel="0" collapsed="false">
      <c r="A20" s="55" t="s">
        <v>293</v>
      </c>
      <c r="B20" s="56"/>
      <c r="C20" s="56"/>
    </row>
    <row r="21" customFormat="false" ht="15" hidden="false" customHeight="false" outlineLevel="0" collapsed="false">
      <c r="A21" s="12" t="s">
        <v>294</v>
      </c>
      <c r="B21" s="48" t="n">
        <f aca="false">INDEX(Calc!$E$128:$P$128,Setup!$B$7)+INDEX(Calc!$E$129:$P$129,Setup!$B$7)+INDEX(Calc!$E$130:$P$130,Setup!$B$7)-B9</f>
        <v>0</v>
      </c>
      <c r="C21" s="48" t="n">
        <f aca="false">SUMIF(Calc!$E$3:$P$3,"&lt;="&amp;Setup!$B$7,Calc!$E$128:$P$128)+SUMIF(Calc!$E$3:$P$3,"&lt;="&amp;Setup!$B$7,Calc!$E$129:$P$129)+SUMIF(Calc!$E$3:$P$3,"&lt;="&amp;Setup!$B$7,Calc!$E$130:$P$130)-C9</f>
        <v>-225000</v>
      </c>
    </row>
    <row r="22" customFormat="false" ht="15" hidden="false" customHeight="false" outlineLevel="0" collapsed="false">
      <c r="A22" s="37" t="s">
        <v>295</v>
      </c>
      <c r="B22" s="39" t="n">
        <f aca="false">B21</f>
        <v>0</v>
      </c>
      <c r="C22" s="39" t="n">
        <f aca="false">C21</f>
        <v>-225000</v>
      </c>
    </row>
    <row r="24" customFormat="false" ht="15" hidden="false" customHeight="false" outlineLevel="0" collapsed="false">
      <c r="A24" s="55" t="s">
        <v>296</v>
      </c>
      <c r="B24" s="56"/>
      <c r="C24" s="56"/>
    </row>
    <row r="25" customFormat="false" ht="15" hidden="false" customHeight="false" outlineLevel="0" collapsed="false">
      <c r="A25" s="12" t="s">
        <v>297</v>
      </c>
      <c r="B25" s="48" t="n">
        <f aca="false">INDEX(Calc!$E$145:$P$145,Setup!$B$7)</f>
        <v>-15000</v>
      </c>
      <c r="C25" s="48" t="n">
        <f aca="false">SUMIF(Calc!$E$3:$P$3,"&lt;="&amp;Setup!$B$7,Calc!$E$145:$P$145)</f>
        <v>-135000</v>
      </c>
    </row>
    <row r="26" customFormat="false" ht="15" hidden="false" customHeight="false" outlineLevel="0" collapsed="false">
      <c r="A26" s="12" t="s">
        <v>298</v>
      </c>
      <c r="B26" s="48" t="n">
        <f aca="false">INDEX(Calc!$E$138:$P$138,Setup!$B$7)</f>
        <v>-12000</v>
      </c>
      <c r="C26" s="48" t="n">
        <f aca="false">SUMIF(Calc!$E$3:$P$3,"&lt;="&amp;Setup!$B$7,Calc!$E$138:$P$138)</f>
        <v>-108000</v>
      </c>
    </row>
    <row r="27" customFormat="false" ht="15" hidden="false" customHeight="false" outlineLevel="0" collapsed="false">
      <c r="A27" s="12" t="s">
        <v>299</v>
      </c>
      <c r="B27" s="48" t="n">
        <f aca="false">INDEX(Calc!$E$139:$P$139,Setup!$B$7)</f>
        <v>-0</v>
      </c>
      <c r="C27" s="48" t="n">
        <f aca="false">SUMIF(Calc!$E$3:$P$3,"&lt;="&amp;Setup!$B$7,Calc!$E$139:$P$139)</f>
        <v>-20000</v>
      </c>
    </row>
    <row r="28" customFormat="false" ht="15" hidden="false" customHeight="false" outlineLevel="0" collapsed="false">
      <c r="A28" s="12" t="s">
        <v>300</v>
      </c>
      <c r="B28" s="48" t="n">
        <f aca="false">INDEX(Calc!$E$135:$P$135,Setup!$B$7)</f>
        <v>-0</v>
      </c>
      <c r="C28" s="48" t="n">
        <f aca="false">SUMIF(Calc!$E$3:$P$3,"&lt;="&amp;Setup!$B$7,Calc!$E$135:$P$135)</f>
        <v>0</v>
      </c>
    </row>
    <row r="29" customFormat="false" ht="15" hidden="false" customHeight="false" outlineLevel="0" collapsed="false">
      <c r="A29" s="12" t="s">
        <v>301</v>
      </c>
      <c r="B29" s="48" t="n">
        <f aca="false">INDEX(Calc!$E$137:$P$137,Setup!$B$7)+INDEX(Calc!$E$136:$P$136,Setup!$B$7)</f>
        <v>-0</v>
      </c>
      <c r="C29" s="48" t="n">
        <f aca="false">SUMIF(Calc!$E$3:$P$3,"&lt;="&amp;Setup!$B$7,Calc!$E$137:$P$137)+SUMIF(Calc!$E$3:$P$3,"&lt;="&amp;Setup!$B$7,Calc!$E$136:$P$136)</f>
        <v>-100000</v>
      </c>
    </row>
    <row r="30" customFormat="false" ht="15" hidden="false" customHeight="false" outlineLevel="0" collapsed="false">
      <c r="A30" s="37" t="s">
        <v>302</v>
      </c>
      <c r="B30" s="39" t="n">
        <f aca="false">SUM(B25:B29)</f>
        <v>-27000</v>
      </c>
      <c r="C30" s="39" t="n">
        <f aca="false">SUM(C25:C29)</f>
        <v>-363000</v>
      </c>
    </row>
    <row r="32" customFormat="false" ht="15" hidden="false" customHeight="false" outlineLevel="0" collapsed="false">
      <c r="A32" s="17" t="s">
        <v>303</v>
      </c>
      <c r="B32" s="42" t="n">
        <f aca="false">B18+B22+B30</f>
        <v>40913</v>
      </c>
      <c r="C32" s="42" t="n">
        <f aca="false">C18+C22+C30</f>
        <v>-601420</v>
      </c>
    </row>
    <row r="33" customFormat="false" ht="15" hidden="false" customHeight="false" outlineLevel="0" collapsed="false">
      <c r="A33" s="12" t="s">
        <v>304</v>
      </c>
      <c r="B33" s="48" t="n">
        <f aca="false">INDEX(Calc!$D$43:$P$43,Setup!$B$7)</f>
        <v>460667</v>
      </c>
      <c r="C33" s="48" t="n">
        <f aca="false">Calc!$D$43</f>
        <v>1103000</v>
      </c>
    </row>
    <row r="34" customFormat="false" ht="15" hidden="false" customHeight="false" outlineLevel="0" collapsed="false">
      <c r="A34" s="43" t="s">
        <v>305</v>
      </c>
      <c r="B34" s="44" t="n">
        <f aca="false">B33+B32</f>
        <v>501580</v>
      </c>
      <c r="C34" s="44" t="n">
        <f aca="false">C33+C32</f>
        <v>501580</v>
      </c>
    </row>
    <row r="35" customFormat="false" ht="15" hidden="false" customHeight="false" outlineLevel="0" collapsed="false">
      <c r="A35" s="51" t="s">
        <v>306</v>
      </c>
      <c r="B35" s="58" t="n">
        <f aca="false">INDEX(Calc!$D$43:$P$43,Setup!$B$7+1)</f>
        <v>501580</v>
      </c>
      <c r="C35" s="58" t="n">
        <f aca="false">INDEX(Calc!$D$43:$P$43,Setup!$B$7+1)</f>
        <v>501580</v>
      </c>
    </row>
    <row r="36" customFormat="false" ht="15" hidden="false" customHeight="false" outlineLevel="0" collapsed="false">
      <c r="A36" s="51" t="s">
        <v>307</v>
      </c>
      <c r="B36" s="57" t="n">
        <f aca="false">B34-B35</f>
        <v>0</v>
      </c>
      <c r="C36" s="57" t="n">
        <f aca="false">C34-C35</f>
        <v>0</v>
      </c>
    </row>
    <row r="38" customFormat="false" ht="15" hidden="false" customHeight="false" outlineLevel="0" collapsed="false">
      <c r="A38" s="16" t="s">
        <v>308</v>
      </c>
    </row>
  </sheetData>
  <sheetProtection sheet="true" formatColumns="false" formatRows="false"/>
  <conditionalFormatting sqref="B8:C34">
    <cfRule type="cellIs" priority="2" operator="lessThan" aboveAverage="0" equalAverage="0" bottom="0" percent="0" rank="0" text="" dxfId="3">
      <formula>0</formula>
    </cfRule>
  </conditionalFormatting>
  <conditionalFormatting sqref="A4">
    <cfRule type="expression" priority="3" aboveAverage="0" equalAverage="0" bottom="0" percent="0" rank="0" text="" dxfId="4">
      <formula>LEFT($A$4,2)="OK"</formula>
    </cfRule>
    <cfRule type="expression" priority="4" aboveAverage="0" equalAverage="0" bottom="0" percent="0" rank="0" text="" dxfId="5">
      <formula>LEFT($A$4,5)="ERROR"</formula>
    </cfRule>
    <cfRule type="expression" priority="5" aboveAverage="0" equalAverage="0" bottom="0" percent="0" rank="0" text="" dxfId="4">
      <formula>LEFT($A$4,2)="OK"</formula>
    </cfRule>
  </conditionalFormatting>
  <hyperlinks>
    <hyperlink ref="A5" r:id="rId1" display="Need help with management accounts, annual financial statements or tax returns? Visit llba.co.za"/>
  </hyperlinks>
  <printOptions headings="false" gridLines="false" gridLinesSet="true" horizontalCentered="true" verticalCentered="false"/>
  <pageMargins left="0.5" right="0.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&amp;LFree template by LBA Accounting - llba.co.za&amp;RPage &amp;P of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13"/>
    <col collapsed="false" customWidth="true" hidden="false" outlineLevel="0" max="3" min="3" style="0" width="18"/>
    <col collapsed="false" customWidth="true" hidden="false" outlineLevel="0" max="4" min="4" style="0" width="14"/>
    <col collapsed="false" customWidth="true" hidden="false" outlineLevel="0" max="5" min="5" style="0" width="12"/>
    <col collapsed="false" customWidth="true" hidden="false" outlineLevel="0" max="6" min="6" style="0" width="13"/>
    <col collapsed="false" customWidth="true" hidden="false" outlineLevel="0" max="7" min="7" style="0" width="70"/>
  </cols>
  <sheetData>
    <row r="1" customFormat="false" ht="17.35" hidden="false" customHeight="false" outlineLevel="0" collapsed="false">
      <c r="A1" s="15" t="str">
        <f aca="false">Setup!B4</f>
        <v>Sample Trading (Pty) Ltd - FICTIONAL EXAMPLE</v>
      </c>
    </row>
    <row r="2" customFormat="false" ht="15" hidden="false" customHeight="false" outlineLevel="0" collapsed="false">
      <c r="A2" s="5" t="s">
        <v>309</v>
      </c>
    </row>
    <row r="3" customFormat="false" ht="15" hidden="false" customHeight="false" outlineLevel="0" collapsed="false">
      <c r="A3" s="16" t="str">
        <f aca="false">"Month: "&amp;Setup!B17&amp;"  |  Year to date: "&amp;Setup!B18&amp;" days"</f>
        <v>Month: September 2026  |  Year to date: 273 days</v>
      </c>
    </row>
    <row r="4" customFormat="false" ht="15" hidden="false" customHeight="false" outlineLevel="0" collapsed="false">
      <c r="A4" s="45" t="str">
        <f aca="false">Checks!$C$3</f>
        <v>OK - all checks passed</v>
      </c>
    </row>
    <row r="5" customFormat="false" ht="15" hidden="false" customHeight="false" outlineLevel="0" collapsed="false">
      <c r="A5" s="46" t="s">
        <v>210</v>
      </c>
    </row>
    <row r="6" customFormat="false" ht="15" hidden="false" customHeight="false" outlineLevel="0" collapsed="false">
      <c r="A6" s="26" t="s">
        <v>310</v>
      </c>
      <c r="B6" s="27" t="s">
        <v>311</v>
      </c>
      <c r="C6" s="27" t="s">
        <v>312</v>
      </c>
      <c r="D6" s="27" t="s">
        <v>313</v>
      </c>
      <c r="E6" s="27" t="s">
        <v>314</v>
      </c>
      <c r="F6" s="27" t="s">
        <v>201</v>
      </c>
      <c r="G6" s="27" t="s">
        <v>315</v>
      </c>
    </row>
    <row r="7" customFormat="false" ht="15" hidden="false" customHeight="false" outlineLevel="0" collapsed="false">
      <c r="A7" s="55" t="s">
        <v>316</v>
      </c>
      <c r="B7" s="56"/>
      <c r="C7" s="56"/>
      <c r="D7" s="59"/>
      <c r="E7" s="59"/>
      <c r="F7" s="56"/>
      <c r="G7" s="56"/>
    </row>
    <row r="8" customFormat="false" ht="15" hidden="false" customHeight="false" outlineLevel="0" collapsed="false">
      <c r="A8" s="12" t="s">
        <v>317</v>
      </c>
      <c r="B8" s="60" t="n">
        <f aca="false">IFERROR('Income Statement'!B8/'Income Statement'!C8,"")</f>
        <v>0.997589480576168</v>
      </c>
      <c r="C8" s="61" t="n">
        <f aca="false">IFERROR('Income Statement'!F8/'Income Statement'!G8,"")</f>
        <v>0.984820927479952</v>
      </c>
      <c r="D8" s="62" t="n">
        <v>1</v>
      </c>
      <c r="E8" s="63" t="s">
        <v>318</v>
      </c>
      <c r="F8" s="28" t="str">
        <f aca="false">IF(OR(D8="",NOT(ISNUMBER(C8))),"",IF(E8="Higher",IF(C8&gt;=D8,"On target","Off target"),IF(C8&lt;=D8,"On target","Off target")))</f>
        <v>Off target</v>
      </c>
      <c r="G8" s="64" t="s">
        <v>319</v>
      </c>
    </row>
    <row r="9" customFormat="false" ht="15" hidden="false" customHeight="false" outlineLevel="0" collapsed="false">
      <c r="A9" s="12" t="s">
        <v>320</v>
      </c>
      <c r="B9" s="60" t="n">
        <f aca="false">'Income Statement'!B11</f>
        <v>0.452736900713308</v>
      </c>
      <c r="C9" s="61" t="n">
        <f aca="false">'Income Statement'!F11</f>
        <v>0.454206280914238</v>
      </c>
      <c r="D9" s="62" t="n">
        <v>0.35</v>
      </c>
      <c r="E9" s="63" t="s">
        <v>318</v>
      </c>
      <c r="F9" s="28" t="str">
        <f aca="false">IF(OR(D9="",NOT(ISNUMBER(C9))),"",IF(E9="Higher",IF(C9&gt;=D9,"On target","Off target"),IF(C9&lt;=D9,"On target","Off target")))</f>
        <v>On target</v>
      </c>
      <c r="G9" s="64" t="s">
        <v>321</v>
      </c>
    </row>
    <row r="10" customFormat="false" ht="15" hidden="false" customHeight="false" outlineLevel="0" collapsed="false">
      <c r="A10" s="12" t="s">
        <v>322</v>
      </c>
      <c r="B10" s="60" t="n">
        <f aca="false">IFERROR('Income Statement'!B24/'Income Statement'!B8,"")</f>
        <v>0.337996108034317</v>
      </c>
      <c r="C10" s="61" t="n">
        <f aca="false">IFERROR('Income Statement'!F24/'Income Statement'!F8,"")</f>
        <v>0.371545316214469</v>
      </c>
      <c r="D10" s="62" t="n">
        <v>0.3</v>
      </c>
      <c r="E10" s="63" t="s">
        <v>323</v>
      </c>
      <c r="F10" s="28" t="str">
        <f aca="false">IF(OR(D10="",NOT(ISNUMBER(C10))),"",IF(E10="Higher",IF(C10&gt;=D10,"On target","Off target"),IF(C10&lt;=D10,"On target","Off target")))</f>
        <v>Off target</v>
      </c>
      <c r="G10" s="64" t="s">
        <v>324</v>
      </c>
    </row>
    <row r="11" customFormat="false" ht="15" hidden="false" customHeight="false" outlineLevel="0" collapsed="false">
      <c r="A11" s="12" t="s">
        <v>325</v>
      </c>
      <c r="B11" s="60" t="n">
        <f aca="false">IFERROR('Income Statement'!B25/'Income Statement'!B8,"")</f>
        <v>0.120543737577815</v>
      </c>
      <c r="C11" s="61" t="n">
        <f aca="false">IFERROR('Income Statement'!F25/'Income Statement'!F8,"")</f>
        <v>0.0874720667901481</v>
      </c>
      <c r="D11" s="62" t="n">
        <v>0.12</v>
      </c>
      <c r="E11" s="63" t="s">
        <v>318</v>
      </c>
      <c r="F11" s="28" t="str">
        <f aca="false">IF(OR(D11="",NOT(ISNUMBER(C11))),"",IF(E11="Higher",IF(C11&gt;=D11,"On target","Off target"),IF(C11&lt;=D11,"On target","Off target")))</f>
        <v>Off target</v>
      </c>
      <c r="G11" s="64" t="s">
        <v>326</v>
      </c>
    </row>
    <row r="12" customFormat="false" ht="15" hidden="false" customHeight="false" outlineLevel="0" collapsed="false">
      <c r="A12" s="12" t="s">
        <v>327</v>
      </c>
      <c r="B12" s="60" t="n">
        <f aca="false">'Income Statement'!B33</f>
        <v>0.0677199841171046</v>
      </c>
      <c r="C12" s="61" t="n">
        <f aca="false">'Income Statement'!F33</f>
        <v>0.041726422264247</v>
      </c>
      <c r="D12" s="62" t="n">
        <v>0.08</v>
      </c>
      <c r="E12" s="63" t="s">
        <v>318</v>
      </c>
      <c r="F12" s="28" t="str">
        <f aca="false">IF(OR(D12="",NOT(ISNUMBER(C12))),"",IF(E12="Higher",IF(C12&gt;=D12,"On target","Off target"),IF(C12&lt;=D12,"On target","Off target")))</f>
        <v>Off target</v>
      </c>
      <c r="G12" s="64" t="s">
        <v>328</v>
      </c>
    </row>
    <row r="13" customFormat="false" ht="15" hidden="false" customHeight="false" outlineLevel="0" collapsed="false">
      <c r="A13" s="12" t="s">
        <v>329</v>
      </c>
      <c r="B13" s="60" t="n">
        <f aca="false">IFERROR('Income Statement'!B32/'Income Statement'!C32,"")</f>
        <v>0.833230148048452</v>
      </c>
      <c r="C13" s="61" t="n">
        <f aca="false">IFERROR('Income Statement'!F32/'Income Statement'!G32,"")</f>
        <v>0.689404283801874</v>
      </c>
      <c r="D13" s="62" t="n">
        <v>1</v>
      </c>
      <c r="E13" s="63" t="s">
        <v>318</v>
      </c>
      <c r="F13" s="28" t="str">
        <f aca="false">IF(OR(D13="",NOT(ISNUMBER(C13))),"",IF(E13="Higher",IF(C13&gt;=D13,"On target","Off target"),IF(C13&lt;=D13,"On target","Off target")))</f>
        <v>Off target</v>
      </c>
      <c r="G13" s="64" t="s">
        <v>330</v>
      </c>
    </row>
    <row r="14" customFormat="false" ht="15" hidden="false" customHeight="false" outlineLevel="0" collapsed="false">
      <c r="A14" s="55" t="s">
        <v>331</v>
      </c>
      <c r="B14" s="56"/>
      <c r="C14" s="56"/>
      <c r="D14" s="59"/>
      <c r="E14" s="59"/>
      <c r="F14" s="56"/>
      <c r="G14" s="56"/>
    </row>
    <row r="15" customFormat="false" ht="15" hidden="false" customHeight="false" outlineLevel="0" collapsed="false">
      <c r="A15" s="12" t="s">
        <v>332</v>
      </c>
      <c r="B15" s="65"/>
      <c r="C15" s="66" t="n">
        <f aca="false">IFERROR('Balance Sheet'!B18/'Balance Sheet'!B40,"")</f>
        <v>2.33125776571666</v>
      </c>
      <c r="D15" s="67" t="n">
        <v>1.5</v>
      </c>
      <c r="E15" s="63" t="s">
        <v>318</v>
      </c>
      <c r="F15" s="28" t="str">
        <f aca="false">IF(OR(D15="",NOT(ISNUMBER(C15))),"",IF(E15="Higher",IF(C15&gt;=D15,"On target","Off target"),IF(C15&lt;=D15,"On target","Off target")))</f>
        <v>On target</v>
      </c>
      <c r="G15" s="64" t="s">
        <v>333</v>
      </c>
    </row>
    <row r="16" customFormat="false" ht="15" hidden="false" customHeight="false" outlineLevel="0" collapsed="false">
      <c r="A16" s="12" t="s">
        <v>334</v>
      </c>
      <c r="B16" s="65"/>
      <c r="C16" s="66" t="n">
        <f aca="false">IFERROR(('Balance Sheet'!B18-'Balance Sheet'!B14)/'Balance Sheet'!B40,"")</f>
        <v>1.68536296529172</v>
      </c>
      <c r="D16" s="67" t="n">
        <v>1</v>
      </c>
      <c r="E16" s="63" t="s">
        <v>318</v>
      </c>
      <c r="F16" s="28" t="str">
        <f aca="false">IF(OR(D16="",NOT(ISNUMBER(C16))),"",IF(E16="Higher",IF(C16&gt;=D16,"On target","Off target"),IF(C16&lt;=D16,"On target","Off target")))</f>
        <v>On target</v>
      </c>
      <c r="G16" s="64" t="s">
        <v>335</v>
      </c>
    </row>
    <row r="17" customFormat="false" ht="15" hidden="false" customHeight="false" outlineLevel="0" collapsed="false">
      <c r="A17" s="12" t="s">
        <v>336</v>
      </c>
      <c r="B17" s="68"/>
      <c r="C17" s="69" t="n">
        <f aca="false">'Balance Sheet'!B17-'Balance Sheet'!B39</f>
        <v>501580</v>
      </c>
      <c r="D17" s="70"/>
      <c r="E17" s="63" t="s">
        <v>318</v>
      </c>
      <c r="F17" s="28" t="str">
        <f aca="false">IF(OR(D17="",NOT(ISNUMBER(C17))),"",IF(E17="Higher",IF(C17&gt;=D17,"On target","Off target"),IF(C17&lt;=D17,"On target","Off target")))</f>
        <v/>
      </c>
      <c r="G17" s="64" t="s">
        <v>337</v>
      </c>
    </row>
    <row r="18" customFormat="false" ht="15" hidden="false" customHeight="false" outlineLevel="0" collapsed="false">
      <c r="A18" s="12" t="s">
        <v>338</v>
      </c>
      <c r="B18" s="71"/>
      <c r="C18" s="72" t="n">
        <f aca="false">IFERROR(C17/(('Income Statement'!F9+'Income Statement'!F24)/Setup!$B$7),"")</f>
        <v>0.66453546759436</v>
      </c>
      <c r="D18" s="73" t="n">
        <v>2</v>
      </c>
      <c r="E18" s="63" t="s">
        <v>318</v>
      </c>
      <c r="F18" s="28" t="str">
        <f aca="false">IF(OR(D18="",NOT(ISNUMBER(C18))),"",IF(E18="Higher",IF(C18&gt;=D18,"On target","Off target"),IF(C18&lt;=D18,"On target","Off target")))</f>
        <v>Off target</v>
      </c>
      <c r="G18" s="64" t="s">
        <v>339</v>
      </c>
    </row>
    <row r="19" customFormat="false" ht="15" hidden="false" customHeight="false" outlineLevel="0" collapsed="false">
      <c r="A19" s="55" t="s">
        <v>340</v>
      </c>
      <c r="B19" s="56"/>
      <c r="C19" s="56"/>
      <c r="D19" s="59"/>
      <c r="E19" s="59"/>
      <c r="F19" s="56"/>
      <c r="G19" s="56"/>
    </row>
    <row r="20" customFormat="false" ht="15" hidden="false" customHeight="false" outlineLevel="0" collapsed="false">
      <c r="A20" s="12" t="s">
        <v>341</v>
      </c>
      <c r="B20" s="74"/>
      <c r="C20" s="75" t="n">
        <f aca="false">IFERROR('Balance Sheet'!B15/('Income Statement'!F8*(1+Setup!B20))*Setup!B18,"")</f>
        <v>41.991940735693</v>
      </c>
      <c r="D20" s="76" t="n">
        <v>45</v>
      </c>
      <c r="E20" s="63" t="s">
        <v>323</v>
      </c>
      <c r="F20" s="28" t="str">
        <f aca="false">IF(OR(D20="",NOT(ISNUMBER(C20))),"",IF(E20="Higher",IF(C20&gt;=D20,"On target","Off target"),IF(C20&lt;=D20,"On target","Off target")))</f>
        <v>On target</v>
      </c>
      <c r="G20" s="64" t="s">
        <v>342</v>
      </c>
    </row>
    <row r="21" customFormat="false" ht="15" hidden="false" customHeight="false" outlineLevel="0" collapsed="false">
      <c r="A21" s="12" t="s">
        <v>343</v>
      </c>
      <c r="B21" s="74"/>
      <c r="C21" s="75" t="n">
        <f aca="false">IFERROR('Balance Sheet'!B14/'Income Statement'!F9*Setup!B18,"")</f>
        <v>49.4030537210653</v>
      </c>
      <c r="D21" s="76" t="n">
        <v>60</v>
      </c>
      <c r="E21" s="63" t="s">
        <v>323</v>
      </c>
      <c r="F21" s="28" t="str">
        <f aca="false">IF(OR(D21="",NOT(ISNUMBER(C21))),"",IF(E21="Higher",IF(C21&gt;=D21,"On target","Off target"),IF(C21&lt;=D21,"On target","Off target")))</f>
        <v>On target</v>
      </c>
      <c r="G21" s="64" t="s">
        <v>344</v>
      </c>
    </row>
    <row r="22" customFormat="false" ht="23.85" hidden="false" customHeight="false" outlineLevel="0" collapsed="false">
      <c r="A22" s="12" t="s">
        <v>345</v>
      </c>
      <c r="B22" s="74"/>
      <c r="C22" s="75" t="n">
        <f aca="false">IFERROR('Balance Sheet'!B33/('Income Statement'!F9*(1+Setup!B20))*Setup!B18,"")</f>
        <v>51.0180572673632</v>
      </c>
      <c r="D22" s="76"/>
      <c r="E22" s="63" t="s">
        <v>323</v>
      </c>
      <c r="F22" s="28" t="str">
        <f aca="false">IF(OR(D22="",NOT(ISNUMBER(C22))),"",IF(E22="Higher",IF(C22&gt;=D22,"On target","Off target"),IF(C22&lt;=D22,"On target","Off target")))</f>
        <v/>
      </c>
      <c r="G22" s="64" t="s">
        <v>346</v>
      </c>
    </row>
    <row r="23" customFormat="false" ht="15" hidden="false" customHeight="false" outlineLevel="0" collapsed="false">
      <c r="A23" s="12" t="s">
        <v>347</v>
      </c>
      <c r="B23" s="74"/>
      <c r="C23" s="75" t="n">
        <f aca="false">IF(AND(ISNUMBER(C20),ISNUMBER(C21),ISNUMBER(C22)),C20+C21-C22,"")</f>
        <v>40.3769371893952</v>
      </c>
      <c r="D23" s="76" t="n">
        <v>60</v>
      </c>
      <c r="E23" s="63" t="s">
        <v>323</v>
      </c>
      <c r="F23" s="28" t="str">
        <f aca="false">IF(OR(D23="",NOT(ISNUMBER(C23))),"",IF(E23="Higher",IF(C23&gt;=D23,"On target","Off target"),IF(C23&lt;=D23,"On target","Off target")))</f>
        <v>On target</v>
      </c>
      <c r="G23" s="64" t="s">
        <v>348</v>
      </c>
    </row>
    <row r="24" customFormat="false" ht="15" hidden="false" customHeight="false" outlineLevel="0" collapsed="false">
      <c r="A24" s="55" t="s">
        <v>349</v>
      </c>
      <c r="B24" s="56"/>
      <c r="C24" s="56"/>
      <c r="D24" s="59"/>
      <c r="E24" s="59"/>
      <c r="F24" s="56"/>
      <c r="G24" s="56"/>
    </row>
    <row r="25" customFormat="false" ht="15" hidden="false" customHeight="false" outlineLevel="0" collapsed="false">
      <c r="A25" s="12" t="s">
        <v>350</v>
      </c>
      <c r="B25" s="65"/>
      <c r="C25" s="66" t="n">
        <f aca="false">IFERROR(('Balance Sheet'!B38+'Balance Sheet'!B29+'Balance Sheet'!B39)/'Balance Sheet'!B27,"")</f>
        <v>0.30108254580698</v>
      </c>
      <c r="D25" s="67" t="n">
        <v>1</v>
      </c>
      <c r="E25" s="63" t="s">
        <v>323</v>
      </c>
      <c r="F25" s="28" t="str">
        <f aca="false">IF(OR(D25="",NOT(ISNUMBER(C25))),"",IF(E25="Higher",IF(C25&gt;=D25,"On target","Off target"),IF(C25&lt;=D25,"On target","Off target")))</f>
        <v>On target</v>
      </c>
      <c r="G25" s="64" t="s">
        <v>351</v>
      </c>
    </row>
    <row r="26" customFormat="false" ht="15" hidden="false" customHeight="false" outlineLevel="0" collapsed="false">
      <c r="A26" s="12" t="s">
        <v>352</v>
      </c>
      <c r="B26" s="65"/>
      <c r="C26" s="66" t="n">
        <f aca="false">IFERROR('Income Statement'!F27/'Income Statement'!F29,"")</f>
        <v>6.87635835050383</v>
      </c>
      <c r="D26" s="67" t="n">
        <v>3</v>
      </c>
      <c r="E26" s="63" t="s">
        <v>318</v>
      </c>
      <c r="F26" s="28" t="str">
        <f aca="false">IF(OR(D26="",NOT(ISNUMBER(C26))),"",IF(E26="Higher",IF(C26&gt;=D26,"On target","Off target"),IF(C26&lt;=D26,"On target","Off target")))</f>
        <v>On target</v>
      </c>
      <c r="G26" s="64" t="s">
        <v>353</v>
      </c>
    </row>
    <row r="27" customFormat="false" ht="15" hidden="false" customHeight="false" outlineLevel="0" collapsed="false">
      <c r="D27" s="77"/>
      <c r="E27" s="77"/>
    </row>
    <row r="28" customFormat="false" ht="15" hidden="false" customHeight="false" outlineLevel="0" collapsed="false">
      <c r="A28" s="16" t="s">
        <v>354</v>
      </c>
    </row>
  </sheetData>
  <sheetProtection sheet="true" formatColumns="false" formatRows="false"/>
  <conditionalFormatting sqref="F7:F27">
    <cfRule type="expression" priority="2" aboveAverage="0" equalAverage="0" bottom="0" percent="0" rank="0" text="" dxfId="0">
      <formula>F7="On target"</formula>
    </cfRule>
    <cfRule type="expression" priority="3" aboveAverage="0" equalAverage="0" bottom="0" percent="0" rank="0" text="" dxfId="1">
      <formula>F7="Off target"</formula>
    </cfRule>
  </conditionalFormatting>
  <conditionalFormatting sqref="A4">
    <cfRule type="expression" priority="4" aboveAverage="0" equalAverage="0" bottom="0" percent="0" rank="0" text="" dxfId="4">
      <formula>LEFT($A$4,2)="OK"</formula>
    </cfRule>
    <cfRule type="expression" priority="5" aboveAverage="0" equalAverage="0" bottom="0" percent="0" rank="0" text="" dxfId="5">
      <formula>LEFT($A$4,5)="ERROR"</formula>
    </cfRule>
    <cfRule type="expression" priority="6" aboveAverage="0" equalAverage="0" bottom="0" percent="0" rank="0" text="" dxfId="4">
      <formula>LEFT($A$4,2)="OK"</formula>
    </cfRule>
  </conditionalFormatting>
  <dataValidations count="1">
    <dataValidation allowBlank="true" errorStyle="stop" operator="between" showDropDown="false" showErrorMessage="false" showInputMessage="false" sqref="E7:E27" type="list">
      <formula1>"Higher,Lower"</formula1>
      <formula2>0</formula2>
    </dataValidation>
  </dataValidations>
  <hyperlinks>
    <hyperlink ref="A5" r:id="rId1" display="Need help with management accounts, annual financial statements or tax returns? Visit llba.co.za"/>
  </hyperlinks>
  <printOptions headings="false" gridLines="false" gridLinesSet="true" horizontalCentered="true" verticalCentered="false"/>
  <pageMargins left="0.5" right="0.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&amp;LFree template by LBA Accounting - llba.co.za&amp;RPage &amp;P of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74"/>
    <col collapsed="false" customWidth="true" hidden="false" outlineLevel="0" max="3" min="3" style="0" width="60"/>
  </cols>
  <sheetData>
    <row r="1" customFormat="false" ht="17.35" hidden="false" customHeight="false" outlineLevel="0" collapsed="false">
      <c r="A1" s="15" t="str">
        <f aca="false">Setup!B4</f>
        <v>Sample Trading (Pty) Ltd - FICTIONAL EXAMPLE</v>
      </c>
    </row>
    <row r="2" customFormat="false" ht="15" hidden="false" customHeight="false" outlineLevel="0" collapsed="false">
      <c r="A2" s="5" t="s">
        <v>355</v>
      </c>
    </row>
    <row r="3" customFormat="false" ht="15" hidden="false" customHeight="false" outlineLevel="0" collapsed="false">
      <c r="A3" s="16" t="s">
        <v>356</v>
      </c>
    </row>
    <row r="4" customFormat="false" ht="15" hidden="false" customHeight="false" outlineLevel="0" collapsed="false">
      <c r="A4" s="45" t="str">
        <f aca="false">Checks!$C$3</f>
        <v>OK - all checks passed</v>
      </c>
    </row>
    <row r="6" customFormat="false" ht="15" hidden="false" customHeight="false" outlineLevel="0" collapsed="false">
      <c r="A6" s="26" t="s">
        <v>357</v>
      </c>
      <c r="B6" s="27" t="s">
        <v>358</v>
      </c>
      <c r="C6" s="27" t="s">
        <v>359</v>
      </c>
    </row>
    <row r="7" customFormat="false" ht="61.5" hidden="false" customHeight="true" outlineLevel="0" collapsed="false">
      <c r="A7" s="7" t="s">
        <v>360</v>
      </c>
      <c r="B7" s="8" t="str">
        <f aca="false">"For "&amp;Setup!B17&amp;", "&amp;IF('Income Statement'!B32&gt;=0,"net profit was R"&amp;TEXT('Income Statement'!B32,"#,##0"),"there was a net loss of R"&amp;TEXT(ABS('Income Statement'!B32),"#,##0"))&amp;IF('Income Statement'!C32=0,""," against a budget of R"&amp;TEXT('Income Statement'!C32,"#,##0"))&amp;". Year to date, "&amp;IF('Income Statement'!F32&gt;=0,"net profit is R","the net loss is R")&amp;TEXT(ABS('Income Statement'!F32),"#,##0")&amp;IF('Income Statement'!G32=0,".",", versus a YTD budget of R"&amp;TEXT('Income Statement'!G32,"#,##0")&amp;".")</f>
        <v>For September 2026, net profit was R61,909 against a budget of R74,300. Year to date, net profit is R308,991, versus a YTD budget of R448,200.</v>
      </c>
      <c r="C7" s="78"/>
    </row>
    <row r="8" customFormat="false" ht="61.5" hidden="false" customHeight="true" outlineLevel="0" collapsed="false">
      <c r="A8" s="7" t="s">
        <v>154</v>
      </c>
      <c r="B8" s="8" t="str">
        <f aca="false">"Revenue was R"&amp;TEXT('Income Statement'!B8,"#,##0")&amp;IF('Income Statement'!C8=0," (no budget set)",", "&amp;TEXT(ABS('Income Statement'!B8/'Income Statement'!C8-1),"0.0%")&amp;IF('Income Statement'!B8&gt;='Income Statement'!C8," above"," below")&amp;" budget")&amp;". Year to date revenue is R"&amp;TEXT('Income Statement'!F8,"#,##0")&amp;IF('Income Statement'!G8=0,".",", "&amp;TEXT(ABS('Income Statement'!F8/'Income Statement'!G8-1),"0.0%")&amp;IF('Income Statement'!F8&gt;='Income Statement'!G8," ahead of"," behind")&amp;" budget.")</f>
        <v>Revenue was R914,191, 0.2% below budget. Year to date revenue is R7,405,164, 1.5% behind budget.</v>
      </c>
      <c r="C8" s="78"/>
    </row>
    <row r="9" customFormat="false" ht="61.5" hidden="false" customHeight="true" outlineLevel="0" collapsed="false">
      <c r="A9" s="7" t="s">
        <v>361</v>
      </c>
      <c r="B9" s="8" t="str">
        <f aca="false">"Gross profit margin was "&amp;TEXT('Income Statement'!B11,"0.0%")&amp;" for the month and "&amp;TEXT('Income Statement'!F11,"0.0%")&amp;" year to date (gross profit R"&amp;TEXT('Income Statement'!F10,"#,##0")&amp;" YTD)."</f>
        <v>Gross profit margin was 45.3% for the month and 45.4% year to date (gross profit R3,363,472 YTD).</v>
      </c>
      <c r="C9" s="78"/>
    </row>
    <row r="10" customFormat="false" ht="61.5" hidden="false" customHeight="true" outlineLevel="0" collapsed="false">
      <c r="A10" s="7" t="s">
        <v>362</v>
      </c>
      <c r="B10" s="8" t="str">
        <f aca="false">"Operating expenses were R"&amp;TEXT('Income Statement'!B24,"#,##0")&amp;" for the month ("&amp;TEXT(IFERROR('Income Statement'!B24/'Income Statement'!B8,0),"0.0%")&amp;" of revenue). "&amp;IF('Income Statement'!G24=0,"",IF('Income Statement'!H24&gt;=0,"Year to date they are R"&amp;TEXT('Income Statement'!H24,"#,##0")&amp;" favourable to budget.","Year to date they are R"&amp;TEXT(-'Income Statement'!H24,"#,##0")&amp;" over budget."))&amp;IF(MIN('Income Statement'!H14:H23)&lt;0," Largest YTD overspend: "&amp;TRIM(INDEX('Income Statement'!A14:A23,MATCH(MIN('Income Statement'!H14:H23),'Income Statement'!H14:H23,0)))&amp;" (R"&amp;TEXT(-MIN('Income Statement'!H14:H23),"#,##0")&amp;").","")</f>
        <v>Operating expenses were R308,993 for the month (33.8% of revenue). Year to date they are R132,754 over budget. Largest YTD overspend: Marketing and advertising (R68,558).</v>
      </c>
      <c r="C10" s="78"/>
    </row>
    <row r="11" customFormat="false" ht="61.5" hidden="false" customHeight="true" outlineLevel="0" collapsed="false">
      <c r="A11" s="7" t="s">
        <v>363</v>
      </c>
      <c r="B11" s="8" t="str">
        <f aca="false">"Net cash and bank at period end is R"&amp;TEXT(KPIs!C17,"#,##0")&amp;IF(ISNUMBER(KPIs!C18)," ("&amp;TEXT(KPIs!C18,"0.0")&amp;" months of operating cost cover)","")&amp;". Debtor days are "&amp;TEXT(KPIs!C20,"0")&amp;" and inventory days "&amp;TEXT(KPIs!C21,"0")&amp;". Operating activities "&amp;IF('Cash Flow'!B18&gt;=0,"generated R","used R")&amp;TEXT(ABS('Cash Flow'!B18),"#,##0")&amp;" of cash in the month."</f>
        <v>Net cash and bank at period end is R501,580 (0.7 months of operating cost cover). Debtor days are 42 and inventory days 49. Operating activities generated R67,913 of cash in the month.</v>
      </c>
      <c r="C11" s="78"/>
    </row>
    <row r="12" customFormat="false" ht="61.5" hidden="false" customHeight="true" outlineLevel="0" collapsed="false">
      <c r="A12" s="7" t="s">
        <v>364</v>
      </c>
      <c r="B12" s="8" t="str">
        <f aca="false">"Total assets are R"&amp;TEXT('Balance Sheet'!B19,"#,##0")&amp;" funded by equity of R"&amp;TEXT('Balance Sheet'!B27,"#,##0")&amp;" and total liabilities of R"&amp;TEXT('Balance Sheet'!B41,"#,##0")&amp;". Current ratio is "&amp;TEXT(KPIs!C15,"0.00")&amp;"."</f>
        <v>Total assets are R3,774,372 funded by equity of R1,849,991 and total liabilities of R1,924,381. Current ratio is 2.33.</v>
      </c>
      <c r="C12" s="78"/>
    </row>
    <row r="13" customFormat="false" ht="49.5" hidden="false" customHeight="true" outlineLevel="0" collapsed="false">
      <c r="A13" s="7" t="s">
        <v>365</v>
      </c>
      <c r="B13" s="79" t="s">
        <v>366</v>
      </c>
      <c r="C13" s="78"/>
    </row>
    <row r="14" customFormat="false" ht="49.5" hidden="false" customHeight="true" outlineLevel="0" collapsed="false">
      <c r="A14" s="7" t="s">
        <v>367</v>
      </c>
      <c r="B14" s="79" t="s">
        <v>366</v>
      </c>
      <c r="C14" s="78"/>
    </row>
    <row r="15" customFormat="false" ht="49.5" hidden="false" customHeight="true" outlineLevel="0" collapsed="false">
      <c r="A15" s="7" t="s">
        <v>368</v>
      </c>
      <c r="B15" s="79" t="s">
        <v>369</v>
      </c>
      <c r="C15" s="78"/>
    </row>
    <row r="16" customFormat="false" ht="30" hidden="false" customHeight="true" outlineLevel="0" collapsed="false">
      <c r="A16" s="80" t="s">
        <v>370</v>
      </c>
      <c r="B16" s="80"/>
      <c r="C16" s="80"/>
    </row>
    <row r="17" customFormat="false" ht="15" hidden="false" customHeight="false" outlineLevel="0" collapsed="false">
      <c r="A17" s="81" t="s">
        <v>371</v>
      </c>
    </row>
    <row r="18" customFormat="false" ht="15" hidden="false" customHeight="false" outlineLevel="0" collapsed="false">
      <c r="A18" s="26" t="s">
        <v>372</v>
      </c>
      <c r="B18" s="27" t="s">
        <v>373</v>
      </c>
      <c r="C18" s="27" t="s">
        <v>201</v>
      </c>
    </row>
    <row r="19" customFormat="false" ht="15" hidden="false" customHeight="false" outlineLevel="0" collapsed="false">
      <c r="A19" s="12" t="s">
        <v>374</v>
      </c>
      <c r="B19" s="16" t="s">
        <v>375</v>
      </c>
      <c r="C19" s="63"/>
    </row>
    <row r="20" customFormat="false" ht="15" hidden="false" customHeight="false" outlineLevel="0" collapsed="false">
      <c r="A20" s="12" t="s">
        <v>376</v>
      </c>
      <c r="B20" s="16" t="s">
        <v>377</v>
      </c>
      <c r="C20" s="63"/>
    </row>
    <row r="21" customFormat="false" ht="15" hidden="false" customHeight="false" outlineLevel="0" collapsed="false">
      <c r="A21" s="12" t="s">
        <v>378</v>
      </c>
      <c r="B21" s="16" t="s">
        <v>379</v>
      </c>
      <c r="C21" s="63"/>
    </row>
    <row r="22" customFormat="false" ht="15" hidden="false" customHeight="false" outlineLevel="0" collapsed="false">
      <c r="A22" s="12" t="s">
        <v>380</v>
      </c>
      <c r="B22" s="16" t="s">
        <v>381</v>
      </c>
      <c r="C22" s="63"/>
    </row>
    <row r="23" customFormat="false" ht="15" hidden="false" customHeight="false" outlineLevel="0" collapsed="false">
      <c r="A23" s="12" t="s">
        <v>382</v>
      </c>
      <c r="B23" s="16" t="s">
        <v>383</v>
      </c>
      <c r="C23" s="63"/>
    </row>
    <row r="24" customFormat="false" ht="15" hidden="false" customHeight="false" outlineLevel="0" collapsed="false">
      <c r="A24" s="12" t="s">
        <v>384</v>
      </c>
      <c r="B24" s="16" t="s">
        <v>385</v>
      </c>
      <c r="C24" s="63"/>
    </row>
    <row r="25" customFormat="false" ht="15" hidden="false" customHeight="false" outlineLevel="0" collapsed="false">
      <c r="A25" s="12" t="s">
        <v>386</v>
      </c>
      <c r="B25" s="16" t="s">
        <v>387</v>
      </c>
      <c r="C25" s="63"/>
    </row>
    <row r="26" customFormat="false" ht="15" hidden="false" customHeight="false" outlineLevel="0" collapsed="false">
      <c r="A26" s="12" t="s">
        <v>388</v>
      </c>
      <c r="B26" s="16" t="s">
        <v>389</v>
      </c>
      <c r="C26" s="63"/>
    </row>
    <row r="27" customFormat="false" ht="15" hidden="false" customHeight="false" outlineLevel="0" collapsed="false">
      <c r="A27" s="12" t="s">
        <v>390</v>
      </c>
      <c r="B27" s="16" t="s">
        <v>391</v>
      </c>
      <c r="C27" s="63"/>
    </row>
    <row r="28" customFormat="false" ht="15" hidden="false" customHeight="false" outlineLevel="0" collapsed="false">
      <c r="A28" s="12" t="s">
        <v>392</v>
      </c>
      <c r="B28" s="16" t="s">
        <v>393</v>
      </c>
      <c r="C28" s="63"/>
    </row>
    <row r="29" customFormat="false" ht="15" hidden="false" customHeight="false" outlineLevel="0" collapsed="false">
      <c r="A29" s="12" t="s">
        <v>394</v>
      </c>
      <c r="B29" s="16" t="s">
        <v>395</v>
      </c>
      <c r="C29" s="63"/>
    </row>
    <row r="30" customFormat="false" ht="15" hidden="false" customHeight="false" outlineLevel="0" collapsed="false">
      <c r="A30" s="12" t="s">
        <v>396</v>
      </c>
      <c r="B30" s="16" t="s">
        <v>397</v>
      </c>
      <c r="C30" s="63"/>
    </row>
    <row r="31" customFormat="false" ht="15" hidden="false" customHeight="false" outlineLevel="0" collapsed="false">
      <c r="A31" s="12" t="s">
        <v>398</v>
      </c>
      <c r="B31" s="16" t="s">
        <v>399</v>
      </c>
      <c r="C31" s="63"/>
    </row>
    <row r="33" customFormat="false" ht="15" hidden="false" customHeight="false" outlineLevel="0" collapsed="false">
      <c r="A33" s="81" t="s">
        <v>400</v>
      </c>
    </row>
    <row r="34" customFormat="false" ht="15" hidden="false" customHeight="false" outlineLevel="0" collapsed="false">
      <c r="A34" s="26" t="s">
        <v>372</v>
      </c>
      <c r="B34" s="27" t="s">
        <v>401</v>
      </c>
      <c r="C34" s="27" t="s">
        <v>402</v>
      </c>
    </row>
    <row r="35" customFormat="false" ht="30" hidden="false" customHeight="true" outlineLevel="0" collapsed="false">
      <c r="A35" s="12" t="s">
        <v>403</v>
      </c>
      <c r="B35" s="64" t="s">
        <v>404</v>
      </c>
      <c r="C35" s="40" t="str">
        <f aca="false">IF(Setup!B8&lt;&gt;"Yes","Not a VAT vendor",IF(Setup!B13="C","Yes",IF(Setup!B13="A",IF(MOD(MONTH(Setup!B16),2)=1,"Yes","No"),IF(Setup!B13="B",IF(MOD(MONTH(Setup!B16),2)=0,"Yes","No"),"Check SARS (category D / E)"))))</f>
        <v>Yes</v>
      </c>
    </row>
    <row r="36" customFormat="false" ht="30" hidden="false" customHeight="true" outlineLevel="0" collapsed="false">
      <c r="A36" s="12" t="s">
        <v>405</v>
      </c>
      <c r="B36" s="64" t="s">
        <v>406</v>
      </c>
      <c r="C36" s="82" t="n">
        <f aca="false">IF(C35="Yes",WORKDAY(EOMONTH(Setup!B16,1)+1,-1),"-")</f>
        <v>46325</v>
      </c>
    </row>
    <row r="37" customFormat="false" ht="30" hidden="false" customHeight="true" outlineLevel="0" collapsed="false">
      <c r="A37" s="12" t="s">
        <v>407</v>
      </c>
      <c r="B37" s="64" t="s">
        <v>408</v>
      </c>
      <c r="C37" s="82" t="n">
        <f aca="false">IF(C35="Yes",WORKDAY(DATE(YEAR(Setup!B16),MONTH(Setup!B16)+1,25)+1,-1),"-")</f>
        <v>46318</v>
      </c>
    </row>
    <row r="38" customFormat="false" ht="30" hidden="false" customHeight="true" outlineLevel="0" collapsed="false">
      <c r="A38" s="12" t="s">
        <v>409</v>
      </c>
      <c r="B38" s="64" t="s">
        <v>410</v>
      </c>
      <c r="C38" s="82" t="n">
        <f aca="false">WORKDAY(DATE(YEAR(Setup!B16),MONTH(Setup!B16)+1,7)+1,-1)</f>
        <v>46302</v>
      </c>
    </row>
    <row r="39" customFormat="false" ht="30" hidden="false" customHeight="true" outlineLevel="0" collapsed="false">
      <c r="A39" s="12" t="s">
        <v>411</v>
      </c>
      <c r="B39" s="64" t="s">
        <v>412</v>
      </c>
      <c r="C39" s="82" t="n">
        <f aca="false">EOMONTH(Setup!B15,5)</f>
        <v>46203</v>
      </c>
    </row>
    <row r="40" customFormat="false" ht="30" hidden="false" customHeight="true" outlineLevel="0" collapsed="false">
      <c r="A40" s="12" t="s">
        <v>413</v>
      </c>
      <c r="B40" s="64" t="s">
        <v>414</v>
      </c>
      <c r="C40" s="82" t="n">
        <f aca="false">Setup!B6</f>
        <v>46387</v>
      </c>
    </row>
    <row r="41" customFormat="false" ht="30" hidden="false" customHeight="true" outlineLevel="0" collapsed="false">
      <c r="A41" s="12" t="s">
        <v>415</v>
      </c>
      <c r="B41" s="64" t="s">
        <v>416</v>
      </c>
      <c r="C41" s="82" t="n">
        <f aca="false">IF(MONTH(Setup!B6)=2,EOMONTH(Setup!B6,7),EOMONTH(Setup!B6,6))</f>
        <v>46568</v>
      </c>
    </row>
    <row r="43" customFormat="false" ht="30" hidden="false" customHeight="true" outlineLevel="0" collapsed="false">
      <c r="A43" s="83" t="s">
        <v>417</v>
      </c>
      <c r="B43" s="83"/>
      <c r="C43" s="83"/>
    </row>
  </sheetData>
  <sheetProtection sheet="true" formatColumns="false" formatRows="false"/>
  <mergeCells count="2">
    <mergeCell ref="A16:C16"/>
    <mergeCell ref="A43:C43"/>
  </mergeCells>
  <conditionalFormatting sqref="C19:C31">
    <cfRule type="expression" priority="2" aboveAverage="0" equalAverage="0" bottom="0" percent="0" rank="0" text="" dxfId="0">
      <formula>C19="Done"</formula>
    </cfRule>
    <cfRule type="expression" priority="3" aboveAverage="0" equalAverage="0" bottom="0" percent="0" rank="0" text="" dxfId="2">
      <formula>C19="Pending"</formula>
    </cfRule>
  </conditionalFormatting>
  <conditionalFormatting sqref="A4">
    <cfRule type="expression" priority="4" aboveAverage="0" equalAverage="0" bottom="0" percent="0" rank="0" text="" dxfId="4">
      <formula>LEFT($A$4,2)="OK"</formula>
    </cfRule>
    <cfRule type="expression" priority="5" aboveAverage="0" equalAverage="0" bottom="0" percent="0" rank="0" text="" dxfId="5">
      <formula>LEFT($A$4,5)="ERROR"</formula>
    </cfRule>
    <cfRule type="expression" priority="6" aboveAverage="0" equalAverage="0" bottom="0" percent="0" rank="0" text="" dxfId="4">
      <formula>LEFT($A$4,2)="OK"</formula>
    </cfRule>
  </conditionalFormatting>
  <dataValidations count="1">
    <dataValidation allowBlank="true" errorStyle="stop" operator="between" showDropDown="false" showErrorMessage="false" showInputMessage="false" sqref="C19:C31" type="list">
      <formula1>"Done,Pending,Not applicable"</formula1>
      <formula2>0</formula2>
    </dataValidation>
  </dataValidations>
  <hyperlinks>
    <hyperlink ref="A16" r:id="rId1" display="Why this matters: monthly management accounts are the best stepping stone to a smooth year-end, accurate provisional tax estimates and fewer SARS surprises. Need help? Visit llba.co.za"/>
  </hyperlinks>
  <printOptions headings="false" gridLines="false" gridLinesSet="true" horizontalCentered="true" verticalCentered="false"/>
  <pageMargins left="0.5" right="0.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&amp;LFree template by LBA Accounting - llba.co.za&amp;RPage &amp;P of &amp;N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0"/>
    <col collapsed="false" customWidth="true" hidden="false" outlineLevel="0" max="2" min="2" style="0" width="18"/>
    <col collapsed="false" customWidth="true" hidden="false" outlineLevel="0" max="3" min="3" style="0" width="34"/>
    <col collapsed="false" customWidth="true" hidden="false" outlineLevel="0" max="4" min="4" style="0" width="90"/>
  </cols>
  <sheetData>
    <row r="1" customFormat="false" ht="17.35" hidden="false" customHeight="false" outlineLevel="0" collapsed="false">
      <c r="A1" s="15" t="s">
        <v>51</v>
      </c>
    </row>
    <row r="3" customFormat="false" ht="15" hidden="false" customHeight="false" outlineLevel="0" collapsed="false">
      <c r="A3" s="17" t="s">
        <v>418</v>
      </c>
      <c r="C3" s="17" t="str">
        <f aca="false">IF(COUNTIF(C6:C25,"ERROR*")&gt;0,"ERROR - checks failed, see Checks tab",IF(COUNTIF(C6:C25,"WARN*")&gt;0,"OK with warnings - see Checks tab","OK - all checks passed"))</f>
        <v>OK - all checks passed</v>
      </c>
    </row>
    <row r="5" customFormat="false" ht="15" hidden="false" customHeight="false" outlineLevel="0" collapsed="false">
      <c r="A5" s="26" t="s">
        <v>419</v>
      </c>
      <c r="B5" s="27" t="s">
        <v>420</v>
      </c>
      <c r="C5" s="27" t="s">
        <v>421</v>
      </c>
      <c r="D5" s="27" t="s">
        <v>422</v>
      </c>
    </row>
    <row r="6" customFormat="false" ht="23.85" hidden="false" customHeight="false" outlineLevel="0" collapsed="false">
      <c r="A6" s="12" t="s">
        <v>423</v>
      </c>
      <c r="B6" s="84" t="n">
        <f aca="false">'Trial Balance'!E257</f>
        <v>0</v>
      </c>
      <c r="C6" s="40" t="str">
        <f aca="false">IF(ABS(B6)&lt;0.5,"OK","ERROR")</f>
        <v>OK</v>
      </c>
      <c r="D6" s="64" t="s">
        <v>424</v>
      </c>
    </row>
    <row r="7" customFormat="false" ht="23.85" hidden="false" customHeight="false" outlineLevel="0" collapsed="false">
      <c r="A7" s="12" t="s">
        <v>425</v>
      </c>
      <c r="B7" s="84" t="n">
        <f aca="false">'Trial Balance'!F257</f>
        <v>0</v>
      </c>
      <c r="C7" s="40" t="str">
        <f aca="false">IF(ABS(B7)&lt;0.5,"OK","ERROR")</f>
        <v>OK</v>
      </c>
      <c r="D7" s="64" t="s">
        <v>424</v>
      </c>
    </row>
    <row r="8" customFormat="false" ht="23.85" hidden="false" customHeight="false" outlineLevel="0" collapsed="false">
      <c r="A8" s="12" t="s">
        <v>426</v>
      </c>
      <c r="B8" s="84" t="n">
        <f aca="false">'Trial Balance'!G257</f>
        <v>0</v>
      </c>
      <c r="C8" s="40" t="str">
        <f aca="false">IF(ABS(B8)&lt;0.5,"OK","ERROR")</f>
        <v>OK</v>
      </c>
      <c r="D8" s="64" t="s">
        <v>424</v>
      </c>
    </row>
    <row r="9" customFormat="false" ht="23.85" hidden="false" customHeight="false" outlineLevel="0" collapsed="false">
      <c r="A9" s="12" t="s">
        <v>427</v>
      </c>
      <c r="B9" s="84" t="n">
        <f aca="false">'Trial Balance'!H257</f>
        <v>0</v>
      </c>
      <c r="C9" s="40" t="str">
        <f aca="false">IF(ABS(B9)&lt;0.5,"OK","ERROR")</f>
        <v>OK</v>
      </c>
      <c r="D9" s="64" t="s">
        <v>424</v>
      </c>
    </row>
    <row r="10" customFormat="false" ht="23.85" hidden="false" customHeight="false" outlineLevel="0" collapsed="false">
      <c r="A10" s="12" t="s">
        <v>428</v>
      </c>
      <c r="B10" s="84" t="n">
        <f aca="false">'Trial Balance'!I257</f>
        <v>0</v>
      </c>
      <c r="C10" s="40" t="str">
        <f aca="false">IF(ABS(B10)&lt;0.5,"OK","ERROR")</f>
        <v>OK</v>
      </c>
      <c r="D10" s="64" t="s">
        <v>424</v>
      </c>
    </row>
    <row r="11" customFormat="false" ht="23.85" hidden="false" customHeight="false" outlineLevel="0" collapsed="false">
      <c r="A11" s="12" t="s">
        <v>429</v>
      </c>
      <c r="B11" s="84" t="n">
        <f aca="false">'Trial Balance'!J257</f>
        <v>0</v>
      </c>
      <c r="C11" s="40" t="str">
        <f aca="false">IF(ABS(B11)&lt;0.5,"OK","ERROR")</f>
        <v>OK</v>
      </c>
      <c r="D11" s="64" t="s">
        <v>424</v>
      </c>
    </row>
    <row r="12" customFormat="false" ht="23.85" hidden="false" customHeight="false" outlineLevel="0" collapsed="false">
      <c r="A12" s="12" t="s">
        <v>430</v>
      </c>
      <c r="B12" s="84" t="n">
        <f aca="false">'Trial Balance'!K257</f>
        <v>0</v>
      </c>
      <c r="C12" s="40" t="str">
        <f aca="false">IF(ABS(B12)&lt;0.5,"OK","ERROR")</f>
        <v>OK</v>
      </c>
      <c r="D12" s="64" t="s">
        <v>424</v>
      </c>
    </row>
    <row r="13" customFormat="false" ht="23.85" hidden="false" customHeight="false" outlineLevel="0" collapsed="false">
      <c r="A13" s="12" t="s">
        <v>431</v>
      </c>
      <c r="B13" s="84" t="n">
        <f aca="false">'Trial Balance'!L257</f>
        <v>0</v>
      </c>
      <c r="C13" s="40" t="str">
        <f aca="false">IF(ABS(B13)&lt;0.5,"OK","ERROR")</f>
        <v>OK</v>
      </c>
      <c r="D13" s="64" t="s">
        <v>424</v>
      </c>
    </row>
    <row r="14" customFormat="false" ht="23.85" hidden="false" customHeight="false" outlineLevel="0" collapsed="false">
      <c r="A14" s="12" t="s">
        <v>432</v>
      </c>
      <c r="B14" s="84" t="n">
        <f aca="false">'Trial Balance'!M257</f>
        <v>0</v>
      </c>
      <c r="C14" s="40" t="str">
        <f aca="false">IF(ABS(B14)&lt;0.5,"OK","ERROR")</f>
        <v>OK</v>
      </c>
      <c r="D14" s="64" t="s">
        <v>424</v>
      </c>
    </row>
    <row r="15" customFormat="false" ht="23.85" hidden="false" customHeight="false" outlineLevel="0" collapsed="false">
      <c r="A15" s="12" t="s">
        <v>433</v>
      </c>
      <c r="B15" s="84" t="n">
        <f aca="false">'Trial Balance'!N257</f>
        <v>0</v>
      </c>
      <c r="C15" s="40" t="str">
        <f aca="false">IF(ABS(B15)&lt;0.5,"OK","ERROR")</f>
        <v>OK</v>
      </c>
      <c r="D15" s="64" t="s">
        <v>424</v>
      </c>
    </row>
    <row r="16" customFormat="false" ht="23.85" hidden="false" customHeight="false" outlineLevel="0" collapsed="false">
      <c r="A16" s="12" t="s">
        <v>434</v>
      </c>
      <c r="B16" s="84" t="n">
        <f aca="false">'Trial Balance'!O257</f>
        <v>0</v>
      </c>
      <c r="C16" s="40" t="str">
        <f aca="false">IF(ABS(B16)&lt;0.5,"OK","ERROR")</f>
        <v>OK</v>
      </c>
      <c r="D16" s="64" t="s">
        <v>424</v>
      </c>
    </row>
    <row r="17" customFormat="false" ht="23.85" hidden="false" customHeight="false" outlineLevel="0" collapsed="false">
      <c r="A17" s="12" t="s">
        <v>435</v>
      </c>
      <c r="B17" s="84" t="n">
        <f aca="false">'Trial Balance'!P257</f>
        <v>0</v>
      </c>
      <c r="C17" s="40" t="str">
        <f aca="false">IF(ABS(B17)&lt;0.5,"OK","ERROR")</f>
        <v>OK</v>
      </c>
      <c r="D17" s="64" t="s">
        <v>424</v>
      </c>
    </row>
    <row r="18" customFormat="false" ht="23.85" hidden="false" customHeight="false" outlineLevel="0" collapsed="false">
      <c r="A18" s="12" t="s">
        <v>436</v>
      </c>
      <c r="B18" s="84" t="n">
        <f aca="false">'Trial Balance'!Q257</f>
        <v>0</v>
      </c>
      <c r="C18" s="40" t="str">
        <f aca="false">IF(ABS(B18)&lt;0.5,"OK","ERROR")</f>
        <v>OK</v>
      </c>
      <c r="D18" s="64" t="s">
        <v>424</v>
      </c>
    </row>
    <row r="19" customFormat="false" ht="15" hidden="false" customHeight="false" outlineLevel="0" collapsed="false">
      <c r="A19" s="12" t="s">
        <v>437</v>
      </c>
      <c r="B19" s="84" t="n">
        <f aca="false">SUM('Trial Balance'!R6:R255)</f>
        <v>0</v>
      </c>
      <c r="C19" s="40" t="str">
        <f aca="false">IF(B19=0,"OK","ERROR")</f>
        <v>OK</v>
      </c>
      <c r="D19" s="64" t="s">
        <v>438</v>
      </c>
    </row>
    <row r="20" customFormat="false" ht="15" hidden="false" customHeight="false" outlineLevel="0" collapsed="false">
      <c r="A20" s="12" t="s">
        <v>439</v>
      </c>
      <c r="B20" s="84" t="n">
        <f aca="false">SUMPRODUCT(('Trial Balance'!D6:D255="IS")*ABS('Trial Balance'!E6:E255))</f>
        <v>0</v>
      </c>
      <c r="C20" s="40" t="str">
        <f aca="false">IF(B20&lt;0.5,"OK","ERROR")</f>
        <v>OK</v>
      </c>
      <c r="D20" s="64" t="s">
        <v>440</v>
      </c>
    </row>
    <row r="21" customFormat="false" ht="15" hidden="false" customHeight="false" outlineLevel="0" collapsed="false">
      <c r="A21" s="12" t="s">
        <v>441</v>
      </c>
      <c r="B21" s="84" t="n">
        <f aca="false">'Balance Sheet'!B44</f>
        <v>0</v>
      </c>
      <c r="C21" s="40" t="str">
        <f aca="false">IF(ABS(B21)&lt;0.5,"OK","ERROR")</f>
        <v>OK</v>
      </c>
      <c r="D21" s="64" t="s">
        <v>442</v>
      </c>
    </row>
    <row r="22" customFormat="false" ht="15" hidden="false" customHeight="false" outlineLevel="0" collapsed="false">
      <c r="A22" s="12" t="s">
        <v>443</v>
      </c>
      <c r="B22" s="84" t="n">
        <f aca="false">'Cash Flow'!B36</f>
        <v>0</v>
      </c>
      <c r="C22" s="40" t="str">
        <f aca="false">IF(ABS(B22)&lt;0.5,"OK","ERROR")</f>
        <v>OK</v>
      </c>
      <c r="D22" s="64" t="s">
        <v>444</v>
      </c>
    </row>
    <row r="23" customFormat="false" ht="15" hidden="false" customHeight="false" outlineLevel="0" collapsed="false">
      <c r="A23" s="12" t="s">
        <v>445</v>
      </c>
      <c r="B23" s="84" t="n">
        <f aca="false">'Cash Flow'!C36</f>
        <v>0</v>
      </c>
      <c r="C23" s="40" t="str">
        <f aca="false">IF(ABS(B23)&lt;0.5,"OK","ERROR")</f>
        <v>OK</v>
      </c>
      <c r="D23" s="64" t="s">
        <v>446</v>
      </c>
    </row>
    <row r="24" customFormat="false" ht="15" hidden="false" customHeight="false" outlineLevel="0" collapsed="false">
      <c r="A24" s="12" t="s">
        <v>447</v>
      </c>
      <c r="B24" s="84" t="n">
        <f aca="false">SUMPRODUCT(ABS(INDEX(Calc!$E$6:$P$41,0,Setup!$B$7)))</f>
        <v>22026120</v>
      </c>
      <c r="C24" s="40" t="str">
        <f aca="false">IF(B24&gt;0,"OK","WARN - no data for the reporting month")</f>
        <v>OK</v>
      </c>
      <c r="D24" s="64" t="s">
        <v>448</v>
      </c>
    </row>
    <row r="25" customFormat="false" ht="15" hidden="false" customHeight="false" outlineLevel="0" collapsed="false">
      <c r="A25" s="12" t="s">
        <v>449</v>
      </c>
      <c r="B25" s="84" t="n">
        <f aca="false">SUM(Budget!B6:M22)</f>
        <v>20124400</v>
      </c>
      <c r="C25" s="40" t="str">
        <f aca="false">IF(B25&gt;0,"OK","WARN - no budget entered")</f>
        <v>OK</v>
      </c>
      <c r="D25" s="64" t="s">
        <v>450</v>
      </c>
    </row>
  </sheetData>
  <sheetProtection sheet="true" formatColumns="false" formatRows="false"/>
  <conditionalFormatting sqref="C6:C25">
    <cfRule type="expression" priority="2" aboveAverage="0" equalAverage="0" bottom="0" percent="0" rank="0" text="" dxfId="0">
      <formula>LEFT(C6,2)="OK"</formula>
    </cfRule>
    <cfRule type="expression" priority="3" aboveAverage="0" equalAverage="0" bottom="0" percent="0" rank="0" text="" dxfId="1">
      <formula>LEFT(C6,5)="ERROR"</formula>
    </cfRule>
    <cfRule type="expression" priority="4" aboveAverage="0" equalAverage="0" bottom="0" percent="0" rank="0" text="" dxfId="2">
      <formula>LEFT(C6,4)="WARN"</formula>
    </cfRule>
  </conditionalFormatting>
  <conditionalFormatting sqref="C3">
    <cfRule type="expression" priority="5" aboveAverage="0" equalAverage="0" bottom="0" percent="0" rank="0" text="" dxfId="6">
      <formula>LEFT(C3,2)="OK"</formula>
    </cfRule>
    <cfRule type="expression" priority="6" aboveAverage="0" equalAverage="0" bottom="0" percent="0" rank="0" text="" dxfId="7">
      <formula>LEFT(C3,5)="ERROR"</formula>
    </cfRule>
  </conditionalFormatting>
  <printOptions headings="false" gridLines="false" gridLinesSet="true" horizontalCentered="true" verticalCentered="false"/>
  <pageMargins left="0.5" right="0.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&amp;LFree template by LBA Accounting - llba.co.za&amp;RPage &amp;P of &amp;N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1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3" min="2" style="0" width="7"/>
    <col collapsed="false" customWidth="true" hidden="false" outlineLevel="0" max="16" min="4" style="0" width="12"/>
  </cols>
  <sheetData>
    <row r="1" customFormat="false" ht="17.35" hidden="false" customHeight="false" outlineLevel="0" collapsed="false">
      <c r="A1" s="15" t="s">
        <v>451</v>
      </c>
    </row>
    <row r="2" customFormat="false" ht="15" hidden="false" customHeight="false" outlineLevel="0" collapsed="false">
      <c r="A2" s="16" t="s">
        <v>452</v>
      </c>
    </row>
    <row r="3" customFormat="false" ht="15" hidden="false" customHeight="false" outlineLevel="0" collapsed="false">
      <c r="A3" s="51" t="s">
        <v>99</v>
      </c>
      <c r="D3" s="28" t="n">
        <v>0</v>
      </c>
      <c r="E3" s="28" t="n">
        <f aca="false">Setup!$A$24</f>
        <v>1</v>
      </c>
      <c r="F3" s="28" t="n">
        <f aca="false">Setup!$A$25</f>
        <v>2</v>
      </c>
      <c r="G3" s="28" t="n">
        <f aca="false">Setup!$A$26</f>
        <v>3</v>
      </c>
      <c r="H3" s="28" t="n">
        <f aca="false">Setup!$A$27</f>
        <v>4</v>
      </c>
      <c r="I3" s="28" t="n">
        <f aca="false">Setup!$A$28</f>
        <v>5</v>
      </c>
      <c r="J3" s="28" t="n">
        <f aca="false">Setup!$A$29</f>
        <v>6</v>
      </c>
      <c r="K3" s="28" t="n">
        <f aca="false">Setup!$A$30</f>
        <v>7</v>
      </c>
      <c r="L3" s="28" t="n">
        <f aca="false">Setup!$A$31</f>
        <v>8</v>
      </c>
      <c r="M3" s="28" t="n">
        <f aca="false">Setup!$A$32</f>
        <v>9</v>
      </c>
      <c r="N3" s="28" t="n">
        <f aca="false">Setup!$A$33</f>
        <v>10</v>
      </c>
      <c r="O3" s="28" t="n">
        <f aca="false">Setup!$A$34</f>
        <v>11</v>
      </c>
      <c r="P3" s="28" t="n">
        <f aca="false">Setup!$A$35</f>
        <v>12</v>
      </c>
    </row>
    <row r="4" customFormat="false" ht="15" hidden="false" customHeight="false" outlineLevel="0" collapsed="false">
      <c r="D4" s="40" t="s">
        <v>453</v>
      </c>
      <c r="E4" s="85" t="n">
        <f aca="false">Setup!$B$24</f>
        <v>46053</v>
      </c>
      <c r="F4" s="85" t="n">
        <f aca="false">Setup!$B$25</f>
        <v>46081</v>
      </c>
      <c r="G4" s="85" t="n">
        <f aca="false">Setup!$B$26</f>
        <v>46112</v>
      </c>
      <c r="H4" s="85" t="n">
        <f aca="false">Setup!$B$27</f>
        <v>46142</v>
      </c>
      <c r="I4" s="85" t="n">
        <f aca="false">Setup!$B$28</f>
        <v>46173</v>
      </c>
      <c r="J4" s="85" t="n">
        <f aca="false">Setup!$B$29</f>
        <v>46203</v>
      </c>
      <c r="K4" s="85" t="n">
        <f aca="false">Setup!$B$30</f>
        <v>46234</v>
      </c>
      <c r="L4" s="85" t="n">
        <f aca="false">Setup!$B$31</f>
        <v>46265</v>
      </c>
      <c r="M4" s="85" t="n">
        <f aca="false">Setup!$B$32</f>
        <v>46295</v>
      </c>
      <c r="N4" s="85" t="n">
        <f aca="false">Setup!$B$33</f>
        <v>46326</v>
      </c>
      <c r="O4" s="85" t="n">
        <f aca="false">Setup!$B$34</f>
        <v>46356</v>
      </c>
      <c r="P4" s="85" t="n">
        <f aca="false">Setup!$B$35</f>
        <v>46387</v>
      </c>
    </row>
    <row r="5" customFormat="false" ht="15" hidden="false" customHeight="false" outlineLevel="0" collapsed="false">
      <c r="A5" s="21" t="s">
        <v>454</v>
      </c>
      <c r="B5" s="17" t="s">
        <v>455</v>
      </c>
      <c r="C5" s="17" t="s">
        <v>456</v>
      </c>
    </row>
    <row r="6" customFormat="false" ht="15" hidden="false" customHeight="false" outlineLevel="0" collapsed="false">
      <c r="A6" s="12" t="s">
        <v>154</v>
      </c>
      <c r="B6" s="28" t="s">
        <v>457</v>
      </c>
      <c r="C6" s="28" t="n">
        <v>-1</v>
      </c>
      <c r="D6" s="48" t="n">
        <f aca="false">IF($B6="IS",0,SUMIFS('Trial Balance'!$E$6:$E$255,'Trial Balance'!$C$6:$C$255,$A6))</f>
        <v>0</v>
      </c>
      <c r="E6" s="48" t="n">
        <f aca="false">SUMIFS('Trial Balance'!F$6:F$255,'Trial Balance'!$C$6:$C$255,$A6)</f>
        <v>-710110</v>
      </c>
      <c r="F6" s="48" t="n">
        <f aca="false">SUMIFS('Trial Balance'!G$6:G$255,'Trial Balance'!$C$6:$C$255,$A6)</f>
        <v>-1457659</v>
      </c>
      <c r="G6" s="48" t="n">
        <f aca="false">SUMIFS('Trial Balance'!H$6:H$255,'Trial Balance'!$C$6:$C$255,$A6)</f>
        <v>-2253086</v>
      </c>
      <c r="H6" s="48" t="n">
        <f aca="false">SUMIFS('Trial Balance'!I$6:I$255,'Trial Balance'!$C$6:$C$255,$A6)</f>
        <v>-3057459</v>
      </c>
      <c r="I6" s="48" t="n">
        <f aca="false">SUMIFS('Trial Balance'!J$6:J$255,'Trial Balance'!$C$6:$C$255,$A6)</f>
        <v>-3898562</v>
      </c>
      <c r="J6" s="48" t="n">
        <f aca="false">SUMIFS('Trial Balance'!K$6:K$255,'Trial Balance'!$C$6:$C$255,$A6)</f>
        <v>-4724581</v>
      </c>
      <c r="K6" s="48" t="n">
        <f aca="false">SUMIFS('Trial Balance'!L$6:L$255,'Trial Balance'!$C$6:$C$255,$A6)</f>
        <v>-5605462</v>
      </c>
      <c r="L6" s="48" t="n">
        <f aca="false">SUMIFS('Trial Balance'!M$6:M$255,'Trial Balance'!$C$6:$C$255,$A6)</f>
        <v>-6490973</v>
      </c>
      <c r="M6" s="48" t="n">
        <f aca="false">SUMIFS('Trial Balance'!N$6:N$255,'Trial Balance'!$C$6:$C$255,$A6)</f>
        <v>-7405164</v>
      </c>
      <c r="N6" s="48" t="n">
        <f aca="false">SUMIFS('Trial Balance'!O$6:O$255,'Trial Balance'!$C$6:$C$255,$A6)</f>
        <v>0</v>
      </c>
      <c r="O6" s="48" t="n">
        <f aca="false">SUMIFS('Trial Balance'!P$6:P$255,'Trial Balance'!$C$6:$C$255,$A6)</f>
        <v>0</v>
      </c>
      <c r="P6" s="48" t="n">
        <f aca="false">SUMIFS('Trial Balance'!Q$6:Q$255,'Trial Balance'!$C$6:$C$255,$A6)</f>
        <v>0</v>
      </c>
    </row>
    <row r="7" customFormat="false" ht="15" hidden="false" customHeight="false" outlineLevel="0" collapsed="false">
      <c r="A7" s="12" t="s">
        <v>161</v>
      </c>
      <c r="B7" s="28" t="s">
        <v>457</v>
      </c>
      <c r="C7" s="28" t="n">
        <v>1</v>
      </c>
      <c r="D7" s="48" t="n">
        <f aca="false">IF($B7="IS",0,SUMIFS('Trial Balance'!$E$6:$E$255,'Trial Balance'!$C$6:$C$255,$A7))</f>
        <v>0</v>
      </c>
      <c r="E7" s="48" t="n">
        <f aca="false">SUMIFS('Trial Balance'!F$6:F$255,'Trial Balance'!$C$6:$C$255,$A7)</f>
        <v>388660</v>
      </c>
      <c r="F7" s="48" t="n">
        <f aca="false">SUMIFS('Trial Balance'!G$6:G$255,'Trial Balance'!$C$6:$C$255,$A7)</f>
        <v>796851</v>
      </c>
      <c r="G7" s="48" t="n">
        <f aca="false">SUMIFS('Trial Balance'!H$6:H$255,'Trial Balance'!$C$6:$C$255,$A7)</f>
        <v>1231664</v>
      </c>
      <c r="H7" s="48" t="n">
        <f aca="false">SUMIFS('Trial Balance'!I$6:I$255,'Trial Balance'!$C$6:$C$255,$A7)</f>
        <v>1668854</v>
      </c>
      <c r="I7" s="48" t="n">
        <f aca="false">SUMIFS('Trial Balance'!J$6:J$255,'Trial Balance'!$C$6:$C$255,$A7)</f>
        <v>2129074</v>
      </c>
      <c r="J7" s="48" t="n">
        <f aca="false">SUMIFS('Trial Balance'!K$6:K$255,'Trial Balance'!$C$6:$C$255,$A7)</f>
        <v>2577074</v>
      </c>
      <c r="K7" s="48" t="n">
        <f aca="false">SUMIFS('Trial Balance'!L$6:L$255,'Trial Balance'!$C$6:$C$255,$A7)</f>
        <v>3060265</v>
      </c>
      <c r="L7" s="48" t="n">
        <f aca="false">SUMIFS('Trial Balance'!M$6:M$255,'Trial Balance'!$C$6:$C$255,$A7)</f>
        <v>3541389</v>
      </c>
      <c r="M7" s="48" t="n">
        <f aca="false">SUMIFS('Trial Balance'!N$6:N$255,'Trial Balance'!$C$6:$C$255,$A7)</f>
        <v>4041692</v>
      </c>
      <c r="N7" s="48" t="n">
        <f aca="false">SUMIFS('Trial Balance'!O$6:O$255,'Trial Balance'!$C$6:$C$255,$A7)</f>
        <v>0</v>
      </c>
      <c r="O7" s="48" t="n">
        <f aca="false">SUMIFS('Trial Balance'!P$6:P$255,'Trial Balance'!$C$6:$C$255,$A7)</f>
        <v>0</v>
      </c>
      <c r="P7" s="48" t="n">
        <f aca="false">SUMIFS('Trial Balance'!Q$6:Q$255,'Trial Balance'!$C$6:$C$255,$A7)</f>
        <v>0</v>
      </c>
    </row>
    <row r="8" customFormat="false" ht="15" hidden="false" customHeight="false" outlineLevel="0" collapsed="false">
      <c r="A8" s="12" t="s">
        <v>157</v>
      </c>
      <c r="B8" s="28" t="s">
        <v>457</v>
      </c>
      <c r="C8" s="28" t="n">
        <v>-1</v>
      </c>
      <c r="D8" s="48" t="n">
        <f aca="false">IF($B8="IS",0,SUMIFS('Trial Balance'!$E$6:$E$255,'Trial Balance'!$C$6:$C$255,$A8))</f>
        <v>0</v>
      </c>
      <c r="E8" s="48" t="n">
        <f aca="false">SUMIFS('Trial Balance'!F$6:F$255,'Trial Balance'!$C$6:$C$255,$A8)</f>
        <v>-3845</v>
      </c>
      <c r="F8" s="48" t="n">
        <f aca="false">SUMIFS('Trial Balance'!G$6:G$255,'Trial Balance'!$C$6:$C$255,$A8)</f>
        <v>-7431</v>
      </c>
      <c r="G8" s="48" t="n">
        <f aca="false">SUMIFS('Trial Balance'!H$6:H$255,'Trial Balance'!$C$6:$C$255,$A8)</f>
        <v>-11212</v>
      </c>
      <c r="H8" s="48" t="n">
        <f aca="false">SUMIFS('Trial Balance'!I$6:I$255,'Trial Balance'!$C$6:$C$255,$A8)</f>
        <v>-14401</v>
      </c>
      <c r="I8" s="48" t="n">
        <f aca="false">SUMIFS('Trial Balance'!J$6:J$255,'Trial Balance'!$C$6:$C$255,$A8)</f>
        <v>-19475</v>
      </c>
      <c r="J8" s="48" t="n">
        <f aca="false">SUMIFS('Trial Balance'!K$6:K$255,'Trial Balance'!$C$6:$C$255,$A8)</f>
        <v>-23063</v>
      </c>
      <c r="K8" s="48" t="n">
        <f aca="false">SUMIFS('Trial Balance'!L$6:L$255,'Trial Balance'!$C$6:$C$255,$A8)</f>
        <v>-26381</v>
      </c>
      <c r="L8" s="48" t="n">
        <f aca="false">SUMIFS('Trial Balance'!M$6:M$255,'Trial Balance'!$C$6:$C$255,$A8)</f>
        <v>-30322</v>
      </c>
      <c r="M8" s="48" t="n">
        <f aca="false">SUMIFS('Trial Balance'!N$6:N$255,'Trial Balance'!$C$6:$C$255,$A8)</f>
        <v>-35627</v>
      </c>
      <c r="N8" s="48" t="n">
        <f aca="false">SUMIFS('Trial Balance'!O$6:O$255,'Trial Balance'!$C$6:$C$255,$A8)</f>
        <v>0</v>
      </c>
      <c r="O8" s="48" t="n">
        <f aca="false">SUMIFS('Trial Balance'!P$6:P$255,'Trial Balance'!$C$6:$C$255,$A8)</f>
        <v>0</v>
      </c>
      <c r="P8" s="48" t="n">
        <f aca="false">SUMIFS('Trial Balance'!Q$6:Q$255,'Trial Balance'!$C$6:$C$255,$A8)</f>
        <v>0</v>
      </c>
    </row>
    <row r="9" customFormat="false" ht="15" hidden="false" customHeight="false" outlineLevel="0" collapsed="false">
      <c r="A9" s="12" t="s">
        <v>165</v>
      </c>
      <c r="B9" s="28" t="s">
        <v>457</v>
      </c>
      <c r="C9" s="28" t="n">
        <v>1</v>
      </c>
      <c r="D9" s="48" t="n">
        <f aca="false">IF($B9="IS",0,SUMIFS('Trial Balance'!$E$6:$E$255,'Trial Balance'!$C$6:$C$255,$A9))</f>
        <v>0</v>
      </c>
      <c r="E9" s="48" t="n">
        <f aca="false">SUMIFS('Trial Balance'!F$6:F$255,'Trial Balance'!$C$6:$C$255,$A9)</f>
        <v>130770</v>
      </c>
      <c r="F9" s="48" t="n">
        <f aca="false">SUMIFS('Trial Balance'!G$6:G$255,'Trial Balance'!$C$6:$C$255,$A9)</f>
        <v>265036</v>
      </c>
      <c r="G9" s="48" t="n">
        <f aca="false">SUMIFS('Trial Balance'!H$6:H$255,'Trial Balance'!$C$6:$C$255,$A9)</f>
        <v>399380</v>
      </c>
      <c r="H9" s="48" t="n">
        <f aca="false">SUMIFS('Trial Balance'!I$6:I$255,'Trial Balance'!$C$6:$C$255,$A9)</f>
        <v>536063</v>
      </c>
      <c r="I9" s="48" t="n">
        <f aca="false">SUMIFS('Trial Balance'!J$6:J$255,'Trial Balance'!$C$6:$C$255,$A9)</f>
        <v>671034</v>
      </c>
      <c r="J9" s="48" t="n">
        <f aca="false">SUMIFS('Trial Balance'!K$6:K$255,'Trial Balance'!$C$6:$C$255,$A9)</f>
        <v>807601</v>
      </c>
      <c r="K9" s="48" t="n">
        <f aca="false">SUMIFS('Trial Balance'!L$6:L$255,'Trial Balance'!$C$6:$C$255,$A9)</f>
        <v>942022</v>
      </c>
      <c r="L9" s="48" t="n">
        <f aca="false">SUMIFS('Trial Balance'!M$6:M$255,'Trial Balance'!$C$6:$C$255,$A9)</f>
        <v>1076637</v>
      </c>
      <c r="M9" s="48" t="n">
        <f aca="false">SUMIFS('Trial Balance'!N$6:N$255,'Trial Balance'!$C$6:$C$255,$A9)</f>
        <v>1216497</v>
      </c>
      <c r="N9" s="48" t="n">
        <f aca="false">SUMIFS('Trial Balance'!O$6:O$255,'Trial Balance'!$C$6:$C$255,$A9)</f>
        <v>0</v>
      </c>
      <c r="O9" s="48" t="n">
        <f aca="false">SUMIFS('Trial Balance'!P$6:P$255,'Trial Balance'!$C$6:$C$255,$A9)</f>
        <v>0</v>
      </c>
      <c r="P9" s="48" t="n">
        <f aca="false">SUMIFS('Trial Balance'!Q$6:Q$255,'Trial Balance'!$C$6:$C$255,$A9)</f>
        <v>0</v>
      </c>
    </row>
    <row r="10" customFormat="false" ht="15" hidden="false" customHeight="false" outlineLevel="0" collapsed="false">
      <c r="A10" s="12" t="s">
        <v>169</v>
      </c>
      <c r="B10" s="28" t="s">
        <v>457</v>
      </c>
      <c r="C10" s="28" t="n">
        <v>1</v>
      </c>
      <c r="D10" s="48" t="n">
        <f aca="false">IF($B10="IS",0,SUMIFS('Trial Balance'!$E$6:$E$255,'Trial Balance'!$C$6:$C$255,$A10))</f>
        <v>0</v>
      </c>
      <c r="E10" s="48" t="n">
        <f aca="false">SUMIFS('Trial Balance'!F$6:F$255,'Trial Balance'!$C$6:$C$255,$A10)</f>
        <v>34000</v>
      </c>
      <c r="F10" s="48" t="n">
        <f aca="false">SUMIFS('Trial Balance'!G$6:G$255,'Trial Balance'!$C$6:$C$255,$A10)</f>
        <v>68000</v>
      </c>
      <c r="G10" s="48" t="n">
        <f aca="false">SUMIFS('Trial Balance'!H$6:H$255,'Trial Balance'!$C$6:$C$255,$A10)</f>
        <v>102000</v>
      </c>
      <c r="H10" s="48" t="n">
        <f aca="false">SUMIFS('Trial Balance'!I$6:I$255,'Trial Balance'!$C$6:$C$255,$A10)</f>
        <v>136000</v>
      </c>
      <c r="I10" s="48" t="n">
        <f aca="false">SUMIFS('Trial Balance'!J$6:J$255,'Trial Balance'!$C$6:$C$255,$A10)</f>
        <v>170000</v>
      </c>
      <c r="J10" s="48" t="n">
        <f aca="false">SUMIFS('Trial Balance'!K$6:K$255,'Trial Balance'!$C$6:$C$255,$A10)</f>
        <v>204000</v>
      </c>
      <c r="K10" s="48" t="n">
        <f aca="false">SUMIFS('Trial Balance'!L$6:L$255,'Trial Balance'!$C$6:$C$255,$A10)</f>
        <v>238000</v>
      </c>
      <c r="L10" s="48" t="n">
        <f aca="false">SUMIFS('Trial Balance'!M$6:M$255,'Trial Balance'!$C$6:$C$255,$A10)</f>
        <v>272000</v>
      </c>
      <c r="M10" s="48" t="n">
        <f aca="false">SUMIFS('Trial Balance'!N$6:N$255,'Trial Balance'!$C$6:$C$255,$A10)</f>
        <v>306000</v>
      </c>
      <c r="N10" s="48" t="n">
        <f aca="false">SUMIFS('Trial Balance'!O$6:O$255,'Trial Balance'!$C$6:$C$255,$A10)</f>
        <v>0</v>
      </c>
      <c r="O10" s="48" t="n">
        <f aca="false">SUMIFS('Trial Balance'!P$6:P$255,'Trial Balance'!$C$6:$C$255,$A10)</f>
        <v>0</v>
      </c>
      <c r="P10" s="48" t="n">
        <f aca="false">SUMIFS('Trial Balance'!Q$6:Q$255,'Trial Balance'!$C$6:$C$255,$A10)</f>
        <v>0</v>
      </c>
    </row>
    <row r="11" customFormat="false" ht="15" hidden="false" customHeight="false" outlineLevel="0" collapsed="false">
      <c r="A11" s="12" t="s">
        <v>172</v>
      </c>
      <c r="B11" s="28" t="s">
        <v>457</v>
      </c>
      <c r="C11" s="28" t="n">
        <v>1</v>
      </c>
      <c r="D11" s="48" t="n">
        <f aca="false">IF($B11="IS",0,SUMIFS('Trial Balance'!$E$6:$E$255,'Trial Balance'!$C$6:$C$255,$A11))</f>
        <v>0</v>
      </c>
      <c r="E11" s="48" t="n">
        <f aca="false">SUMIFS('Trial Balance'!F$6:F$255,'Trial Balance'!$C$6:$C$255,$A11)</f>
        <v>29614</v>
      </c>
      <c r="F11" s="48" t="n">
        <f aca="false">SUMIFS('Trial Balance'!G$6:G$255,'Trial Balance'!$C$6:$C$255,$A11)</f>
        <v>63177</v>
      </c>
      <c r="G11" s="48" t="n">
        <f aca="false">SUMIFS('Trial Balance'!H$6:H$255,'Trial Balance'!$C$6:$C$255,$A11)</f>
        <v>90921</v>
      </c>
      <c r="H11" s="48" t="n">
        <f aca="false">SUMIFS('Trial Balance'!I$6:I$255,'Trial Balance'!$C$6:$C$255,$A11)</f>
        <v>123091</v>
      </c>
      <c r="I11" s="48" t="n">
        <f aca="false">SUMIFS('Trial Balance'!J$6:J$255,'Trial Balance'!$C$6:$C$255,$A11)</f>
        <v>156185</v>
      </c>
      <c r="J11" s="48" t="n">
        <f aca="false">SUMIFS('Trial Balance'!K$6:K$255,'Trial Balance'!$C$6:$C$255,$A11)</f>
        <v>189482</v>
      </c>
      <c r="K11" s="48" t="n">
        <f aca="false">SUMIFS('Trial Balance'!L$6:L$255,'Trial Balance'!$C$6:$C$255,$A11)</f>
        <v>224590</v>
      </c>
      <c r="L11" s="48" t="n">
        <f aca="false">SUMIFS('Trial Balance'!M$6:M$255,'Trial Balance'!$C$6:$C$255,$A11)</f>
        <v>251744</v>
      </c>
      <c r="M11" s="48" t="n">
        <f aca="false">SUMIFS('Trial Balance'!N$6:N$255,'Trial Balance'!$C$6:$C$255,$A11)</f>
        <v>284558</v>
      </c>
      <c r="N11" s="48" t="n">
        <f aca="false">SUMIFS('Trial Balance'!O$6:O$255,'Trial Balance'!$C$6:$C$255,$A11)</f>
        <v>0</v>
      </c>
      <c r="O11" s="48" t="n">
        <f aca="false">SUMIFS('Trial Balance'!P$6:P$255,'Trial Balance'!$C$6:$C$255,$A11)</f>
        <v>0</v>
      </c>
      <c r="P11" s="48" t="n">
        <f aca="false">SUMIFS('Trial Balance'!Q$6:Q$255,'Trial Balance'!$C$6:$C$255,$A11)</f>
        <v>0</v>
      </c>
    </row>
    <row r="12" customFormat="false" ht="15" hidden="false" customHeight="false" outlineLevel="0" collapsed="false">
      <c r="A12" s="12" t="s">
        <v>175</v>
      </c>
      <c r="B12" s="28" t="s">
        <v>457</v>
      </c>
      <c r="C12" s="28" t="n">
        <v>1</v>
      </c>
      <c r="D12" s="48" t="n">
        <f aca="false">IF($B12="IS",0,SUMIFS('Trial Balance'!$E$6:$E$255,'Trial Balance'!$C$6:$C$255,$A12))</f>
        <v>0</v>
      </c>
      <c r="E12" s="48" t="n">
        <f aca="false">SUMIFS('Trial Balance'!F$6:F$255,'Trial Balance'!$C$6:$C$255,$A12)</f>
        <v>9000</v>
      </c>
      <c r="F12" s="48" t="n">
        <f aca="false">SUMIFS('Trial Balance'!G$6:G$255,'Trial Balance'!$C$6:$C$255,$A12)</f>
        <v>18000</v>
      </c>
      <c r="G12" s="48" t="n">
        <f aca="false">SUMIFS('Trial Balance'!H$6:H$255,'Trial Balance'!$C$6:$C$255,$A12)</f>
        <v>35000</v>
      </c>
      <c r="H12" s="48" t="n">
        <f aca="false">SUMIFS('Trial Balance'!I$6:I$255,'Trial Balance'!$C$6:$C$255,$A12)</f>
        <v>52000</v>
      </c>
      <c r="I12" s="48" t="n">
        <f aca="false">SUMIFS('Trial Balance'!J$6:J$255,'Trial Balance'!$C$6:$C$255,$A12)</f>
        <v>83000</v>
      </c>
      <c r="J12" s="48" t="n">
        <f aca="false">SUMIFS('Trial Balance'!K$6:K$255,'Trial Balance'!$C$6:$C$255,$A12)</f>
        <v>100000</v>
      </c>
      <c r="K12" s="48" t="n">
        <f aca="false">SUMIFS('Trial Balance'!L$6:L$255,'Trial Balance'!$C$6:$C$255,$A12)</f>
        <v>117000</v>
      </c>
      <c r="L12" s="48" t="n">
        <f aca="false">SUMIFS('Trial Balance'!M$6:M$255,'Trial Balance'!$C$6:$C$255,$A12)</f>
        <v>134000</v>
      </c>
      <c r="M12" s="48" t="n">
        <f aca="false">SUMIFS('Trial Balance'!N$6:N$255,'Trial Balance'!$C$6:$C$255,$A12)</f>
        <v>151000</v>
      </c>
      <c r="N12" s="48" t="n">
        <f aca="false">SUMIFS('Trial Balance'!O$6:O$255,'Trial Balance'!$C$6:$C$255,$A12)</f>
        <v>0</v>
      </c>
      <c r="O12" s="48" t="n">
        <f aca="false">SUMIFS('Trial Balance'!P$6:P$255,'Trial Balance'!$C$6:$C$255,$A12)</f>
        <v>0</v>
      </c>
      <c r="P12" s="48" t="n">
        <f aca="false">SUMIFS('Trial Balance'!Q$6:Q$255,'Trial Balance'!$C$6:$C$255,$A12)</f>
        <v>0</v>
      </c>
    </row>
    <row r="13" customFormat="false" ht="15" hidden="false" customHeight="false" outlineLevel="0" collapsed="false">
      <c r="A13" s="12" t="s">
        <v>179</v>
      </c>
      <c r="B13" s="28" t="s">
        <v>457</v>
      </c>
      <c r="C13" s="28" t="n">
        <v>1</v>
      </c>
      <c r="D13" s="48" t="n">
        <f aca="false">IF($B13="IS",0,SUMIFS('Trial Balance'!$E$6:$E$255,'Trial Balance'!$C$6:$C$255,$A13))</f>
        <v>0</v>
      </c>
      <c r="E13" s="48" t="n">
        <f aca="false">SUMIFS('Trial Balance'!F$6:F$255,'Trial Balance'!$C$6:$C$255,$A13)</f>
        <v>29438</v>
      </c>
      <c r="F13" s="48" t="n">
        <f aca="false">SUMIFS('Trial Balance'!G$6:G$255,'Trial Balance'!$C$6:$C$255,$A13)</f>
        <v>62214</v>
      </c>
      <c r="G13" s="48" t="n">
        <f aca="false">SUMIFS('Trial Balance'!H$6:H$255,'Trial Balance'!$C$6:$C$255,$A13)</f>
        <v>87797</v>
      </c>
      <c r="H13" s="48" t="n">
        <f aca="false">SUMIFS('Trial Balance'!I$6:I$255,'Trial Balance'!$C$6:$C$255,$A13)</f>
        <v>109392</v>
      </c>
      <c r="I13" s="48" t="n">
        <f aca="false">SUMIFS('Trial Balance'!J$6:J$255,'Trial Balance'!$C$6:$C$255,$A13)</f>
        <v>138341</v>
      </c>
      <c r="J13" s="48" t="n">
        <f aca="false">SUMIFS('Trial Balance'!K$6:K$255,'Trial Balance'!$C$6:$C$255,$A13)</f>
        <v>168484</v>
      </c>
      <c r="K13" s="48" t="n">
        <f aca="false">SUMIFS('Trial Balance'!L$6:L$255,'Trial Balance'!$C$6:$C$255,$A13)</f>
        <v>198687</v>
      </c>
      <c r="L13" s="48" t="n">
        <f aca="false">SUMIFS('Trial Balance'!M$6:M$255,'Trial Balance'!$C$6:$C$255,$A13)</f>
        <v>226189</v>
      </c>
      <c r="M13" s="48" t="n">
        <f aca="false">SUMIFS('Trial Balance'!N$6:N$255,'Trial Balance'!$C$6:$C$255,$A13)</f>
        <v>251324</v>
      </c>
      <c r="N13" s="48" t="n">
        <f aca="false">SUMIFS('Trial Balance'!O$6:O$255,'Trial Balance'!$C$6:$C$255,$A13)</f>
        <v>0</v>
      </c>
      <c r="O13" s="48" t="n">
        <f aca="false">SUMIFS('Trial Balance'!P$6:P$255,'Trial Balance'!$C$6:$C$255,$A13)</f>
        <v>0</v>
      </c>
      <c r="P13" s="48" t="n">
        <f aca="false">SUMIFS('Trial Balance'!Q$6:Q$255,'Trial Balance'!$C$6:$C$255,$A13)</f>
        <v>0</v>
      </c>
    </row>
    <row r="14" customFormat="false" ht="15" hidden="false" customHeight="false" outlineLevel="0" collapsed="false">
      <c r="A14" s="12" t="s">
        <v>183</v>
      </c>
      <c r="B14" s="28" t="s">
        <v>457</v>
      </c>
      <c r="C14" s="28" t="n">
        <v>1</v>
      </c>
      <c r="D14" s="48" t="n">
        <f aca="false">IF($B14="IS",0,SUMIFS('Trial Balance'!$E$6:$E$255,'Trial Balance'!$C$6:$C$255,$A14))</f>
        <v>0</v>
      </c>
      <c r="E14" s="48" t="n">
        <f aca="false">SUMIFS('Trial Balance'!F$6:F$255,'Trial Balance'!$C$6:$C$255,$A14)</f>
        <v>18277</v>
      </c>
      <c r="F14" s="48" t="n">
        <f aca="false">SUMIFS('Trial Balance'!G$6:G$255,'Trial Balance'!$C$6:$C$255,$A14)</f>
        <v>36643</v>
      </c>
      <c r="G14" s="48" t="n">
        <f aca="false">SUMIFS('Trial Balance'!H$6:H$255,'Trial Balance'!$C$6:$C$255,$A14)</f>
        <v>54746</v>
      </c>
      <c r="H14" s="48" t="n">
        <f aca="false">SUMIFS('Trial Balance'!I$6:I$255,'Trial Balance'!$C$6:$C$255,$A14)</f>
        <v>72205</v>
      </c>
      <c r="I14" s="48" t="n">
        <f aca="false">SUMIFS('Trial Balance'!J$6:J$255,'Trial Balance'!$C$6:$C$255,$A14)</f>
        <v>93460</v>
      </c>
      <c r="J14" s="48" t="n">
        <f aca="false">SUMIFS('Trial Balance'!K$6:K$255,'Trial Balance'!$C$6:$C$255,$A14)</f>
        <v>114100</v>
      </c>
      <c r="K14" s="48" t="n">
        <f aca="false">SUMIFS('Trial Balance'!L$6:L$255,'Trial Balance'!$C$6:$C$255,$A14)</f>
        <v>135801</v>
      </c>
      <c r="L14" s="48" t="n">
        <f aca="false">SUMIFS('Trial Balance'!M$6:M$255,'Trial Balance'!$C$6:$C$255,$A14)</f>
        <v>156423</v>
      </c>
      <c r="M14" s="48" t="n">
        <f aca="false">SUMIFS('Trial Balance'!N$6:N$255,'Trial Balance'!$C$6:$C$255,$A14)</f>
        <v>174973</v>
      </c>
      <c r="N14" s="48" t="n">
        <f aca="false">SUMIFS('Trial Balance'!O$6:O$255,'Trial Balance'!$C$6:$C$255,$A14)</f>
        <v>0</v>
      </c>
      <c r="O14" s="48" t="n">
        <f aca="false">SUMIFS('Trial Balance'!P$6:P$255,'Trial Balance'!$C$6:$C$255,$A14)</f>
        <v>0</v>
      </c>
      <c r="P14" s="48" t="n">
        <f aca="false">SUMIFS('Trial Balance'!Q$6:Q$255,'Trial Balance'!$C$6:$C$255,$A14)</f>
        <v>0</v>
      </c>
    </row>
    <row r="15" customFormat="false" ht="15" hidden="false" customHeight="false" outlineLevel="0" collapsed="false">
      <c r="A15" s="12" t="s">
        <v>185</v>
      </c>
      <c r="B15" s="28" t="s">
        <v>457</v>
      </c>
      <c r="C15" s="28" t="n">
        <v>1</v>
      </c>
      <c r="D15" s="48" t="n">
        <f aca="false">IF($B15="IS",0,SUMIFS('Trial Balance'!$E$6:$E$255,'Trial Balance'!$C$6:$C$255,$A15))</f>
        <v>0</v>
      </c>
      <c r="E15" s="48" t="n">
        <f aca="false">SUMIFS('Trial Balance'!F$6:F$255,'Trial Balance'!$C$6:$C$255,$A15)</f>
        <v>12417</v>
      </c>
      <c r="F15" s="48" t="n">
        <f aca="false">SUMIFS('Trial Balance'!G$6:G$255,'Trial Balance'!$C$6:$C$255,$A15)</f>
        <v>27613</v>
      </c>
      <c r="G15" s="48" t="n">
        <f aca="false">SUMIFS('Trial Balance'!H$6:H$255,'Trial Balance'!$C$6:$C$255,$A15)</f>
        <v>36794</v>
      </c>
      <c r="H15" s="48" t="n">
        <f aca="false">SUMIFS('Trial Balance'!I$6:I$255,'Trial Balance'!$C$6:$C$255,$A15)</f>
        <v>48450</v>
      </c>
      <c r="I15" s="48" t="n">
        <f aca="false">SUMIFS('Trial Balance'!J$6:J$255,'Trial Balance'!$C$6:$C$255,$A15)</f>
        <v>55342</v>
      </c>
      <c r="J15" s="48" t="n">
        <f aca="false">SUMIFS('Trial Balance'!K$6:K$255,'Trial Balance'!$C$6:$C$255,$A15)</f>
        <v>64369</v>
      </c>
      <c r="K15" s="48" t="n">
        <f aca="false">SUMIFS('Trial Balance'!L$6:L$255,'Trial Balance'!$C$6:$C$255,$A15)</f>
        <v>77678</v>
      </c>
      <c r="L15" s="48" t="n">
        <f aca="false">SUMIFS('Trial Balance'!M$6:M$255,'Trial Balance'!$C$6:$C$255,$A15)</f>
        <v>88331</v>
      </c>
      <c r="M15" s="48" t="n">
        <f aca="false">SUMIFS('Trial Balance'!N$6:N$255,'Trial Balance'!$C$6:$C$255,$A15)</f>
        <v>102043</v>
      </c>
      <c r="N15" s="48" t="n">
        <f aca="false">SUMIFS('Trial Balance'!O$6:O$255,'Trial Balance'!$C$6:$C$255,$A15)</f>
        <v>0</v>
      </c>
      <c r="O15" s="48" t="n">
        <f aca="false">SUMIFS('Trial Balance'!P$6:P$255,'Trial Balance'!$C$6:$C$255,$A15)</f>
        <v>0</v>
      </c>
      <c r="P15" s="48" t="n">
        <f aca="false">SUMIFS('Trial Balance'!Q$6:Q$255,'Trial Balance'!$C$6:$C$255,$A15)</f>
        <v>0</v>
      </c>
    </row>
    <row r="16" customFormat="false" ht="15" hidden="false" customHeight="false" outlineLevel="0" collapsed="false">
      <c r="A16" s="12" t="s">
        <v>186</v>
      </c>
      <c r="B16" s="28" t="s">
        <v>457</v>
      </c>
      <c r="C16" s="28" t="n">
        <v>1</v>
      </c>
      <c r="D16" s="48" t="n">
        <f aca="false">IF($B16="IS",0,SUMIFS('Trial Balance'!$E$6:$E$255,'Trial Balance'!$C$6:$C$255,$A16))</f>
        <v>0</v>
      </c>
      <c r="E16" s="48" t="n">
        <f aca="false">SUMIFS('Trial Balance'!F$6:F$255,'Trial Balance'!$C$6:$C$255,$A16)</f>
        <v>9000</v>
      </c>
      <c r="F16" s="48" t="n">
        <f aca="false">SUMIFS('Trial Balance'!G$6:G$255,'Trial Balance'!$C$6:$C$255,$A16)</f>
        <v>18000</v>
      </c>
      <c r="G16" s="48" t="n">
        <f aca="false">SUMIFS('Trial Balance'!H$6:H$255,'Trial Balance'!$C$6:$C$255,$A16)</f>
        <v>27000</v>
      </c>
      <c r="H16" s="48" t="n">
        <f aca="false">SUMIFS('Trial Balance'!I$6:I$255,'Trial Balance'!$C$6:$C$255,$A16)</f>
        <v>36000</v>
      </c>
      <c r="I16" s="48" t="n">
        <f aca="false">SUMIFS('Trial Balance'!J$6:J$255,'Trial Balance'!$C$6:$C$255,$A16)</f>
        <v>45000</v>
      </c>
      <c r="J16" s="48" t="n">
        <f aca="false">SUMIFS('Trial Balance'!K$6:K$255,'Trial Balance'!$C$6:$C$255,$A16)</f>
        <v>54000</v>
      </c>
      <c r="K16" s="48" t="n">
        <f aca="false">SUMIFS('Trial Balance'!L$6:L$255,'Trial Balance'!$C$6:$C$255,$A16)</f>
        <v>63000</v>
      </c>
      <c r="L16" s="48" t="n">
        <f aca="false">SUMIFS('Trial Balance'!M$6:M$255,'Trial Balance'!$C$6:$C$255,$A16)</f>
        <v>72000</v>
      </c>
      <c r="M16" s="48" t="n">
        <f aca="false">SUMIFS('Trial Balance'!N$6:N$255,'Trial Balance'!$C$6:$C$255,$A16)</f>
        <v>81000</v>
      </c>
      <c r="N16" s="48" t="n">
        <f aca="false">SUMIFS('Trial Balance'!O$6:O$255,'Trial Balance'!$C$6:$C$255,$A16)</f>
        <v>0</v>
      </c>
      <c r="O16" s="48" t="n">
        <f aca="false">SUMIFS('Trial Balance'!P$6:P$255,'Trial Balance'!$C$6:$C$255,$A16)</f>
        <v>0</v>
      </c>
      <c r="P16" s="48" t="n">
        <f aca="false">SUMIFS('Trial Balance'!Q$6:Q$255,'Trial Balance'!$C$6:$C$255,$A16)</f>
        <v>0</v>
      </c>
    </row>
    <row r="17" customFormat="false" ht="15" hidden="false" customHeight="false" outlineLevel="0" collapsed="false">
      <c r="A17" s="12" t="s">
        <v>187</v>
      </c>
      <c r="B17" s="28" t="s">
        <v>457</v>
      </c>
      <c r="C17" s="28" t="n">
        <v>1</v>
      </c>
      <c r="D17" s="48" t="n">
        <f aca="false">IF($B17="IS",0,SUMIFS('Trial Balance'!$E$6:$E$255,'Trial Balance'!$C$6:$C$255,$A17))</f>
        <v>0</v>
      </c>
      <c r="E17" s="48" t="n">
        <f aca="false">SUMIFS('Trial Balance'!F$6:F$255,'Trial Balance'!$C$6:$C$255,$A17)</f>
        <v>4733</v>
      </c>
      <c r="F17" s="48" t="n">
        <f aca="false">SUMIFS('Trial Balance'!G$6:G$255,'Trial Balance'!$C$6:$C$255,$A17)</f>
        <v>9538</v>
      </c>
      <c r="G17" s="48" t="n">
        <f aca="false">SUMIFS('Trial Balance'!H$6:H$255,'Trial Balance'!$C$6:$C$255,$A17)</f>
        <v>14638</v>
      </c>
      <c r="H17" s="48" t="n">
        <f aca="false">SUMIFS('Trial Balance'!I$6:I$255,'Trial Balance'!$C$6:$C$255,$A17)</f>
        <v>19646</v>
      </c>
      <c r="I17" s="48" t="n">
        <f aca="false">SUMIFS('Trial Balance'!J$6:J$255,'Trial Balance'!$C$6:$C$255,$A17)</f>
        <v>24551</v>
      </c>
      <c r="J17" s="48" t="n">
        <f aca="false">SUMIFS('Trial Balance'!K$6:K$255,'Trial Balance'!$C$6:$C$255,$A17)</f>
        <v>29693</v>
      </c>
      <c r="K17" s="48" t="n">
        <f aca="false">SUMIFS('Trial Balance'!L$6:L$255,'Trial Balance'!$C$6:$C$255,$A17)</f>
        <v>34445</v>
      </c>
      <c r="L17" s="48" t="n">
        <f aca="false">SUMIFS('Trial Balance'!M$6:M$255,'Trial Balance'!$C$6:$C$255,$A17)</f>
        <v>39486</v>
      </c>
      <c r="M17" s="48" t="n">
        <f aca="false">SUMIFS('Trial Balance'!N$6:N$255,'Trial Balance'!$C$6:$C$255,$A17)</f>
        <v>44527</v>
      </c>
      <c r="N17" s="48" t="n">
        <f aca="false">SUMIFS('Trial Balance'!O$6:O$255,'Trial Balance'!$C$6:$C$255,$A17)</f>
        <v>0</v>
      </c>
      <c r="O17" s="48" t="n">
        <f aca="false">SUMIFS('Trial Balance'!P$6:P$255,'Trial Balance'!$C$6:$C$255,$A17)</f>
        <v>0</v>
      </c>
      <c r="P17" s="48" t="n">
        <f aca="false">SUMIFS('Trial Balance'!Q$6:Q$255,'Trial Balance'!$C$6:$C$255,$A17)</f>
        <v>0</v>
      </c>
    </row>
    <row r="18" customFormat="false" ht="15" hidden="false" customHeight="false" outlineLevel="0" collapsed="false">
      <c r="A18" s="12" t="s">
        <v>189</v>
      </c>
      <c r="B18" s="28" t="s">
        <v>457</v>
      </c>
      <c r="C18" s="28" t="n">
        <v>1</v>
      </c>
      <c r="D18" s="48" t="n">
        <f aca="false">IF($B18="IS",0,SUMIFS('Trial Balance'!$E$6:$E$255,'Trial Balance'!$C$6:$C$255,$A18))</f>
        <v>0</v>
      </c>
      <c r="E18" s="48" t="n">
        <f aca="false">SUMIFS('Trial Balance'!F$6:F$255,'Trial Balance'!$C$6:$C$255,$A18)</f>
        <v>16583</v>
      </c>
      <c r="F18" s="48" t="n">
        <f aca="false">SUMIFS('Trial Balance'!G$6:G$255,'Trial Balance'!$C$6:$C$255,$A18)</f>
        <v>30446</v>
      </c>
      <c r="G18" s="48" t="n">
        <f aca="false">SUMIFS('Trial Balance'!H$6:H$255,'Trial Balance'!$C$6:$C$255,$A18)</f>
        <v>45407</v>
      </c>
      <c r="H18" s="48" t="n">
        <f aca="false">SUMIFS('Trial Balance'!I$6:I$255,'Trial Balance'!$C$6:$C$255,$A18)</f>
        <v>60132</v>
      </c>
      <c r="I18" s="48" t="n">
        <f aca="false">SUMIFS('Trial Balance'!J$6:J$255,'Trial Balance'!$C$6:$C$255,$A18)</f>
        <v>76440</v>
      </c>
      <c r="J18" s="48" t="n">
        <f aca="false">SUMIFS('Trial Balance'!K$6:K$255,'Trial Balance'!$C$6:$C$255,$A18)</f>
        <v>93598</v>
      </c>
      <c r="K18" s="48" t="n">
        <f aca="false">SUMIFS('Trial Balance'!L$6:L$255,'Trial Balance'!$C$6:$C$255,$A18)</f>
        <v>107339</v>
      </c>
      <c r="L18" s="48" t="n">
        <f aca="false">SUMIFS('Trial Balance'!M$6:M$255,'Trial Balance'!$C$6:$C$255,$A18)</f>
        <v>125551</v>
      </c>
      <c r="M18" s="48" t="n">
        <f aca="false">SUMIFS('Trial Balance'!N$6:N$255,'Trial Balance'!$C$6:$C$255,$A18)</f>
        <v>139432</v>
      </c>
      <c r="N18" s="48" t="n">
        <f aca="false">SUMIFS('Trial Balance'!O$6:O$255,'Trial Balance'!$C$6:$C$255,$A18)</f>
        <v>0</v>
      </c>
      <c r="O18" s="48" t="n">
        <f aca="false">SUMIFS('Trial Balance'!P$6:P$255,'Trial Balance'!$C$6:$C$255,$A18)</f>
        <v>0</v>
      </c>
      <c r="P18" s="48" t="n">
        <f aca="false">SUMIFS('Trial Balance'!Q$6:Q$255,'Trial Balance'!$C$6:$C$255,$A18)</f>
        <v>0</v>
      </c>
    </row>
    <row r="19" customFormat="false" ht="15" hidden="false" customHeight="false" outlineLevel="0" collapsed="false">
      <c r="A19" s="12" t="s">
        <v>194</v>
      </c>
      <c r="B19" s="28" t="s">
        <v>457</v>
      </c>
      <c r="C19" s="28" t="n">
        <v>1</v>
      </c>
      <c r="D19" s="48" t="n">
        <f aca="false">IF($B19="IS",0,SUMIFS('Trial Balance'!$E$6:$E$255,'Trial Balance'!$C$6:$C$255,$A19))</f>
        <v>0</v>
      </c>
      <c r="E19" s="48" t="n">
        <f aca="false">SUMIFS('Trial Balance'!F$6:F$255,'Trial Balance'!$C$6:$C$255,$A19)</f>
        <v>16000</v>
      </c>
      <c r="F19" s="48" t="n">
        <f aca="false">SUMIFS('Trial Balance'!G$6:G$255,'Trial Balance'!$C$6:$C$255,$A19)</f>
        <v>32000</v>
      </c>
      <c r="G19" s="48" t="n">
        <f aca="false">SUMIFS('Trial Balance'!H$6:H$255,'Trial Balance'!$C$6:$C$255,$A19)</f>
        <v>48000</v>
      </c>
      <c r="H19" s="48" t="n">
        <f aca="false">SUMIFS('Trial Balance'!I$6:I$255,'Trial Balance'!$C$6:$C$255,$A19)</f>
        <v>64000</v>
      </c>
      <c r="I19" s="48" t="n">
        <f aca="false">SUMIFS('Trial Balance'!J$6:J$255,'Trial Balance'!$C$6:$C$255,$A19)</f>
        <v>83000</v>
      </c>
      <c r="J19" s="48" t="n">
        <f aca="false">SUMIFS('Trial Balance'!K$6:K$255,'Trial Balance'!$C$6:$C$255,$A19)</f>
        <v>102000</v>
      </c>
      <c r="K19" s="48" t="n">
        <f aca="false">SUMIFS('Trial Balance'!L$6:L$255,'Trial Balance'!$C$6:$C$255,$A19)</f>
        <v>121000</v>
      </c>
      <c r="L19" s="48" t="n">
        <f aca="false">SUMIFS('Trial Balance'!M$6:M$255,'Trial Balance'!$C$6:$C$255,$A19)</f>
        <v>140750</v>
      </c>
      <c r="M19" s="48" t="n">
        <f aca="false">SUMIFS('Trial Balance'!N$6:N$255,'Trial Balance'!$C$6:$C$255,$A19)</f>
        <v>160500</v>
      </c>
      <c r="N19" s="48" t="n">
        <f aca="false">SUMIFS('Trial Balance'!O$6:O$255,'Trial Balance'!$C$6:$C$255,$A19)</f>
        <v>0</v>
      </c>
      <c r="O19" s="48" t="n">
        <f aca="false">SUMIFS('Trial Balance'!P$6:P$255,'Trial Balance'!$C$6:$C$255,$A19)</f>
        <v>0</v>
      </c>
      <c r="P19" s="48" t="n">
        <f aca="false">SUMIFS('Trial Balance'!Q$6:Q$255,'Trial Balance'!$C$6:$C$255,$A19)</f>
        <v>0</v>
      </c>
    </row>
    <row r="20" customFormat="false" ht="15" hidden="false" customHeight="false" outlineLevel="0" collapsed="false">
      <c r="A20" s="12" t="s">
        <v>159</v>
      </c>
      <c r="B20" s="28" t="s">
        <v>457</v>
      </c>
      <c r="C20" s="28" t="n">
        <v>-1</v>
      </c>
      <c r="D20" s="48" t="n">
        <f aca="false">IF($B20="IS",0,SUMIFS('Trial Balance'!$E$6:$E$255,'Trial Balance'!$C$6:$C$255,$A20))</f>
        <v>0</v>
      </c>
      <c r="E20" s="48" t="n">
        <f aca="false">SUMIFS('Trial Balance'!F$6:F$255,'Trial Balance'!$C$6:$C$255,$A20)</f>
        <v>-750</v>
      </c>
      <c r="F20" s="48" t="n">
        <f aca="false">SUMIFS('Trial Balance'!G$6:G$255,'Trial Balance'!$C$6:$C$255,$A20)</f>
        <v>-1504</v>
      </c>
      <c r="G20" s="48" t="n">
        <f aca="false">SUMIFS('Trial Balance'!H$6:H$255,'Trial Balance'!$C$6:$C$255,$A20)</f>
        <v>-2262</v>
      </c>
      <c r="H20" s="48" t="n">
        <f aca="false">SUMIFS('Trial Balance'!I$6:I$255,'Trial Balance'!$C$6:$C$255,$A20)</f>
        <v>-3023</v>
      </c>
      <c r="I20" s="48" t="n">
        <f aca="false">SUMIFS('Trial Balance'!J$6:J$255,'Trial Balance'!$C$6:$C$255,$A20)</f>
        <v>-3788</v>
      </c>
      <c r="J20" s="48" t="n">
        <f aca="false">SUMIFS('Trial Balance'!K$6:K$255,'Trial Balance'!$C$6:$C$255,$A20)</f>
        <v>-4557</v>
      </c>
      <c r="K20" s="48" t="n">
        <f aca="false">SUMIFS('Trial Balance'!L$6:L$255,'Trial Balance'!$C$6:$C$255,$A20)</f>
        <v>-5330</v>
      </c>
      <c r="L20" s="48" t="n">
        <f aca="false">SUMIFS('Trial Balance'!M$6:M$255,'Trial Balance'!$C$6:$C$255,$A20)</f>
        <v>-6107</v>
      </c>
      <c r="M20" s="48" t="n">
        <f aca="false">SUMIFS('Trial Balance'!N$6:N$255,'Trial Balance'!$C$6:$C$255,$A20)</f>
        <v>-6888</v>
      </c>
      <c r="N20" s="48" t="n">
        <f aca="false">SUMIFS('Trial Balance'!O$6:O$255,'Trial Balance'!$C$6:$C$255,$A20)</f>
        <v>0</v>
      </c>
      <c r="O20" s="48" t="n">
        <f aca="false">SUMIFS('Trial Balance'!P$6:P$255,'Trial Balance'!$C$6:$C$255,$A20)</f>
        <v>0</v>
      </c>
      <c r="P20" s="48" t="n">
        <f aca="false">SUMIFS('Trial Balance'!Q$6:Q$255,'Trial Balance'!$C$6:$C$255,$A20)</f>
        <v>0</v>
      </c>
    </row>
    <row r="21" customFormat="false" ht="15" hidden="false" customHeight="false" outlineLevel="0" collapsed="false">
      <c r="A21" s="12" t="s">
        <v>197</v>
      </c>
      <c r="B21" s="28" t="s">
        <v>457</v>
      </c>
      <c r="C21" s="28" t="n">
        <v>1</v>
      </c>
      <c r="D21" s="48" t="n">
        <f aca="false">IF($B21="IS",0,SUMIFS('Trial Balance'!$E$6:$E$255,'Trial Balance'!$C$6:$C$255,$A21))</f>
        <v>0</v>
      </c>
      <c r="E21" s="48" t="n">
        <f aca="false">SUMIFS('Trial Balance'!F$6:F$255,'Trial Balance'!$C$6:$C$255,$A21)</f>
        <v>8800</v>
      </c>
      <c r="F21" s="48" t="n">
        <f aca="false">SUMIFS('Trial Balance'!G$6:G$255,'Trial Balance'!$C$6:$C$255,$A21)</f>
        <v>17303</v>
      </c>
      <c r="G21" s="48" t="n">
        <f aca="false">SUMIFS('Trial Balance'!H$6:H$255,'Trial Balance'!$C$6:$C$255,$A21)</f>
        <v>25509</v>
      </c>
      <c r="H21" s="48" t="n">
        <f aca="false">SUMIFS('Trial Balance'!I$6:I$255,'Trial Balance'!$C$6:$C$255,$A21)</f>
        <v>35768</v>
      </c>
      <c r="I21" s="48" t="n">
        <f aca="false">SUMIFS('Trial Balance'!J$6:J$255,'Trial Balance'!$C$6:$C$255,$A21)</f>
        <v>43380</v>
      </c>
      <c r="J21" s="48" t="n">
        <f aca="false">SUMIFS('Trial Balance'!K$6:K$255,'Trial Balance'!$C$6:$C$255,$A21)</f>
        <v>50695</v>
      </c>
      <c r="K21" s="48" t="n">
        <f aca="false">SUMIFS('Trial Balance'!L$6:L$255,'Trial Balance'!$C$6:$C$255,$A21)</f>
        <v>57713</v>
      </c>
      <c r="L21" s="48" t="n">
        <f aca="false">SUMIFS('Trial Balance'!M$6:M$255,'Trial Balance'!$C$6:$C$255,$A21)</f>
        <v>64434</v>
      </c>
      <c r="M21" s="48" t="n">
        <f aca="false">SUMIFS('Trial Balance'!N$6:N$255,'Trial Balance'!$C$6:$C$255,$A21)</f>
        <v>70858</v>
      </c>
      <c r="N21" s="48" t="n">
        <f aca="false">SUMIFS('Trial Balance'!O$6:O$255,'Trial Balance'!$C$6:$C$255,$A21)</f>
        <v>0</v>
      </c>
      <c r="O21" s="48" t="n">
        <f aca="false">SUMIFS('Trial Balance'!P$6:P$255,'Trial Balance'!$C$6:$C$255,$A21)</f>
        <v>0</v>
      </c>
      <c r="P21" s="48" t="n">
        <f aca="false">SUMIFS('Trial Balance'!Q$6:Q$255,'Trial Balance'!$C$6:$C$255,$A21)</f>
        <v>0</v>
      </c>
    </row>
    <row r="22" customFormat="false" ht="15" hidden="false" customHeight="false" outlineLevel="0" collapsed="false">
      <c r="A22" s="12" t="s">
        <v>199</v>
      </c>
      <c r="B22" s="28" t="s">
        <v>457</v>
      </c>
      <c r="C22" s="28" t="n">
        <v>1</v>
      </c>
      <c r="D22" s="48" t="n">
        <f aca="false">IF($B22="IS",0,SUMIFS('Trial Balance'!$E$6:$E$255,'Trial Balance'!$C$6:$C$255,$A22))</f>
        <v>0</v>
      </c>
      <c r="E22" s="48" t="n">
        <f aca="false">SUMIFS('Trial Balance'!F$6:F$255,'Trial Balance'!$C$6:$C$255,$A22)</f>
        <v>2002</v>
      </c>
      <c r="F22" s="48" t="n">
        <f aca="false">SUMIFS('Trial Balance'!G$6:G$255,'Trial Balance'!$C$6:$C$255,$A22)</f>
        <v>5879</v>
      </c>
      <c r="G22" s="48" t="n">
        <f aca="false">SUMIFS('Trial Balance'!H$6:H$255,'Trial Balance'!$C$6:$C$255,$A22)</f>
        <v>18280</v>
      </c>
      <c r="H22" s="48" t="n">
        <f aca="false">SUMIFS('Trial Balance'!I$6:I$255,'Trial Balance'!$C$6:$C$255,$A22)</f>
        <v>30586</v>
      </c>
      <c r="I22" s="48" t="n">
        <f aca="false">SUMIFS('Trial Balance'!J$6:J$255,'Trial Balance'!$C$6:$C$255,$A22)</f>
        <v>41315</v>
      </c>
      <c r="J22" s="48" t="n">
        <f aca="false">SUMIFS('Trial Balance'!K$6:K$255,'Trial Balance'!$C$6:$C$255,$A22)</f>
        <v>53218</v>
      </c>
      <c r="K22" s="48" t="n">
        <f aca="false">SUMIFS('Trial Balance'!L$6:L$255,'Trial Balance'!$C$6:$C$255,$A22)</f>
        <v>70101</v>
      </c>
      <c r="L22" s="48" t="n">
        <f aca="false">SUMIFS('Trial Balance'!M$6:M$255,'Trial Balance'!$C$6:$C$255,$A22)</f>
        <v>91386</v>
      </c>
      <c r="M22" s="48" t="n">
        <f aca="false">SUMIFS('Trial Balance'!N$6:N$255,'Trial Balance'!$C$6:$C$255,$A22)</f>
        <v>114284</v>
      </c>
      <c r="N22" s="48" t="n">
        <f aca="false">SUMIFS('Trial Balance'!O$6:O$255,'Trial Balance'!$C$6:$C$255,$A22)</f>
        <v>0</v>
      </c>
      <c r="O22" s="48" t="n">
        <f aca="false">SUMIFS('Trial Balance'!P$6:P$255,'Trial Balance'!$C$6:$C$255,$A22)</f>
        <v>0</v>
      </c>
      <c r="P22" s="48" t="n">
        <f aca="false">SUMIFS('Trial Balance'!Q$6:Q$255,'Trial Balance'!$C$6:$C$255,$A22)</f>
        <v>0</v>
      </c>
    </row>
    <row r="23" customFormat="false" ht="15" hidden="false" customHeight="false" outlineLevel="0" collapsed="false">
      <c r="A23" s="12" t="s">
        <v>113</v>
      </c>
      <c r="B23" s="28" t="s">
        <v>111</v>
      </c>
      <c r="C23" s="28" t="n">
        <v>1</v>
      </c>
      <c r="D23" s="48" t="n">
        <f aca="false">IF($B23="IS",0,SUMIFS('Trial Balance'!$E$6:$E$255,'Trial Balance'!$C$6:$C$255,$A23))</f>
        <v>930000</v>
      </c>
      <c r="E23" s="48" t="n">
        <f aca="false">SUMIFS('Trial Balance'!F$6:F$255,'Trial Balance'!$C$6:$C$255,$A23)</f>
        <v>915500</v>
      </c>
      <c r="F23" s="48" t="n">
        <f aca="false">SUMIFS('Trial Balance'!G$6:G$255,'Trial Balance'!$C$6:$C$255,$A23)</f>
        <v>901000</v>
      </c>
      <c r="G23" s="48" t="n">
        <f aca="false">SUMIFS('Trial Balance'!H$6:H$255,'Trial Balance'!$C$6:$C$255,$A23)</f>
        <v>886500</v>
      </c>
      <c r="H23" s="48" t="n">
        <f aca="false">SUMIFS('Trial Balance'!I$6:I$255,'Trial Balance'!$C$6:$C$255,$A23)</f>
        <v>1052000</v>
      </c>
      <c r="I23" s="48" t="n">
        <f aca="false">SUMIFS('Trial Balance'!J$6:J$255,'Trial Balance'!$C$6:$C$255,$A23)</f>
        <v>1034500</v>
      </c>
      <c r="J23" s="48" t="n">
        <f aca="false">SUMIFS('Trial Balance'!K$6:K$255,'Trial Balance'!$C$6:$C$255,$A23)</f>
        <v>1017000</v>
      </c>
      <c r="K23" s="48" t="n">
        <f aca="false">SUMIFS('Trial Balance'!L$6:L$255,'Trial Balance'!$C$6:$C$255,$A23)</f>
        <v>1044500</v>
      </c>
      <c r="L23" s="48" t="n">
        <f aca="false">SUMIFS('Trial Balance'!M$6:M$255,'Trial Balance'!$C$6:$C$255,$A23)</f>
        <v>1026250</v>
      </c>
      <c r="M23" s="48" t="n">
        <f aca="false">SUMIFS('Trial Balance'!N$6:N$255,'Trial Balance'!$C$6:$C$255,$A23)</f>
        <v>1008000</v>
      </c>
      <c r="N23" s="48" t="n">
        <f aca="false">SUMIFS('Trial Balance'!O$6:O$255,'Trial Balance'!$C$6:$C$255,$A23)</f>
        <v>0</v>
      </c>
      <c r="O23" s="48" t="n">
        <f aca="false">SUMIFS('Trial Balance'!P$6:P$255,'Trial Balance'!$C$6:$C$255,$A23)</f>
        <v>0</v>
      </c>
      <c r="P23" s="48" t="n">
        <f aca="false">SUMIFS('Trial Balance'!Q$6:Q$255,'Trial Balance'!$C$6:$C$255,$A23)</f>
        <v>0</v>
      </c>
    </row>
    <row r="24" customFormat="false" ht="15" hidden="false" customHeight="false" outlineLevel="0" collapsed="false">
      <c r="A24" s="12" t="s">
        <v>116</v>
      </c>
      <c r="B24" s="28" t="s">
        <v>111</v>
      </c>
      <c r="C24" s="28" t="n">
        <v>1</v>
      </c>
      <c r="D24" s="48" t="n">
        <f aca="false">IF($B24="IS",0,SUMIFS('Trial Balance'!$E$6:$E$255,'Trial Balance'!$C$6:$C$255,$A24))</f>
        <v>80000</v>
      </c>
      <c r="E24" s="48" t="n">
        <f aca="false">SUMIFS('Trial Balance'!F$6:F$255,'Trial Balance'!$C$6:$C$255,$A24)</f>
        <v>78500</v>
      </c>
      <c r="F24" s="48" t="n">
        <f aca="false">SUMIFS('Trial Balance'!G$6:G$255,'Trial Balance'!$C$6:$C$255,$A24)</f>
        <v>77000</v>
      </c>
      <c r="G24" s="48" t="n">
        <f aca="false">SUMIFS('Trial Balance'!H$6:H$255,'Trial Balance'!$C$6:$C$255,$A24)</f>
        <v>75500</v>
      </c>
      <c r="H24" s="48" t="n">
        <f aca="false">SUMIFS('Trial Balance'!I$6:I$255,'Trial Balance'!$C$6:$C$255,$A24)</f>
        <v>74000</v>
      </c>
      <c r="I24" s="48" t="n">
        <f aca="false">SUMIFS('Trial Balance'!J$6:J$255,'Trial Balance'!$C$6:$C$255,$A24)</f>
        <v>72500</v>
      </c>
      <c r="J24" s="48" t="n">
        <f aca="false">SUMIFS('Trial Balance'!K$6:K$255,'Trial Balance'!$C$6:$C$255,$A24)</f>
        <v>71000</v>
      </c>
      <c r="K24" s="48" t="n">
        <f aca="false">SUMIFS('Trial Balance'!L$6:L$255,'Trial Balance'!$C$6:$C$255,$A24)</f>
        <v>69500</v>
      </c>
      <c r="L24" s="48" t="n">
        <f aca="false">SUMIFS('Trial Balance'!M$6:M$255,'Trial Balance'!$C$6:$C$255,$A24)</f>
        <v>68000</v>
      </c>
      <c r="M24" s="48" t="n">
        <f aca="false">SUMIFS('Trial Balance'!N$6:N$255,'Trial Balance'!$C$6:$C$255,$A24)</f>
        <v>66500</v>
      </c>
      <c r="N24" s="48" t="n">
        <f aca="false">SUMIFS('Trial Balance'!O$6:O$255,'Trial Balance'!$C$6:$C$255,$A24)</f>
        <v>0</v>
      </c>
      <c r="O24" s="48" t="n">
        <f aca="false">SUMIFS('Trial Balance'!P$6:P$255,'Trial Balance'!$C$6:$C$255,$A24)</f>
        <v>0</v>
      </c>
      <c r="P24" s="48" t="n">
        <f aca="false">SUMIFS('Trial Balance'!Q$6:Q$255,'Trial Balance'!$C$6:$C$255,$A24)</f>
        <v>0</v>
      </c>
    </row>
    <row r="25" customFormat="false" ht="15" hidden="false" customHeight="false" outlineLevel="0" collapsed="false">
      <c r="A25" s="12" t="s">
        <v>118</v>
      </c>
      <c r="B25" s="28" t="s">
        <v>111</v>
      </c>
      <c r="C25" s="28" t="n">
        <v>1</v>
      </c>
      <c r="D25" s="48" t="n">
        <f aca="false">IF($B25="IS",0,SUMIFS('Trial Balance'!$E$6:$E$255,'Trial Balance'!$C$6:$C$255,$A25))</f>
        <v>60000</v>
      </c>
      <c r="E25" s="48" t="n">
        <f aca="false">SUMIFS('Trial Balance'!F$6:F$255,'Trial Balance'!$C$6:$C$255,$A25)</f>
        <v>60000</v>
      </c>
      <c r="F25" s="48" t="n">
        <f aca="false">SUMIFS('Trial Balance'!G$6:G$255,'Trial Balance'!$C$6:$C$255,$A25)</f>
        <v>60000</v>
      </c>
      <c r="G25" s="48" t="n">
        <f aca="false">SUMIFS('Trial Balance'!H$6:H$255,'Trial Balance'!$C$6:$C$255,$A25)</f>
        <v>60000</v>
      </c>
      <c r="H25" s="48" t="n">
        <f aca="false">SUMIFS('Trial Balance'!I$6:I$255,'Trial Balance'!$C$6:$C$255,$A25)</f>
        <v>60000</v>
      </c>
      <c r="I25" s="48" t="n">
        <f aca="false">SUMIFS('Trial Balance'!J$6:J$255,'Trial Balance'!$C$6:$C$255,$A25)</f>
        <v>60000</v>
      </c>
      <c r="J25" s="48" t="n">
        <f aca="false">SUMIFS('Trial Balance'!K$6:K$255,'Trial Balance'!$C$6:$C$255,$A25)</f>
        <v>60000</v>
      </c>
      <c r="K25" s="48" t="n">
        <f aca="false">SUMIFS('Trial Balance'!L$6:L$255,'Trial Balance'!$C$6:$C$255,$A25)</f>
        <v>60000</v>
      </c>
      <c r="L25" s="48" t="n">
        <f aca="false">SUMIFS('Trial Balance'!M$6:M$255,'Trial Balance'!$C$6:$C$255,$A25)</f>
        <v>60000</v>
      </c>
      <c r="M25" s="48" t="n">
        <f aca="false">SUMIFS('Trial Balance'!N$6:N$255,'Trial Balance'!$C$6:$C$255,$A25)</f>
        <v>60000</v>
      </c>
      <c r="N25" s="48" t="n">
        <f aca="false">SUMIFS('Trial Balance'!O$6:O$255,'Trial Balance'!$C$6:$C$255,$A25)</f>
        <v>0</v>
      </c>
      <c r="O25" s="48" t="n">
        <f aca="false">SUMIFS('Trial Balance'!P$6:P$255,'Trial Balance'!$C$6:$C$255,$A25)</f>
        <v>0</v>
      </c>
      <c r="P25" s="48" t="n">
        <f aca="false">SUMIFS('Trial Balance'!Q$6:Q$255,'Trial Balance'!$C$6:$C$255,$A25)</f>
        <v>0</v>
      </c>
    </row>
    <row r="26" customFormat="false" ht="15" hidden="false" customHeight="false" outlineLevel="0" collapsed="false">
      <c r="A26" s="12" t="s">
        <v>120</v>
      </c>
      <c r="B26" s="28" t="s">
        <v>111</v>
      </c>
      <c r="C26" s="28" t="n">
        <v>1</v>
      </c>
      <c r="D26" s="48" t="n">
        <f aca="false">IF($B26="IS",0,SUMIFS('Trial Balance'!$E$6:$E$255,'Trial Balance'!$C$6:$C$255,$A26))</f>
        <v>640000</v>
      </c>
      <c r="E26" s="48" t="n">
        <f aca="false">SUMIFS('Trial Balance'!F$6:F$255,'Trial Balance'!$C$6:$C$255,$A26)</f>
        <v>648885</v>
      </c>
      <c r="F26" s="48" t="n">
        <f aca="false">SUMIFS('Trial Balance'!G$6:G$255,'Trial Balance'!$C$6:$C$255,$A26)</f>
        <v>656315</v>
      </c>
      <c r="G26" s="48" t="n">
        <f aca="false">SUMIFS('Trial Balance'!H$6:H$255,'Trial Balance'!$C$6:$C$255,$A26)</f>
        <v>678000</v>
      </c>
      <c r="H26" s="48" t="n">
        <f aca="false">SUMIFS('Trial Balance'!I$6:I$255,'Trial Balance'!$C$6:$C$255,$A26)</f>
        <v>679887</v>
      </c>
      <c r="I26" s="48" t="n">
        <f aca="false">SUMIFS('Trial Balance'!J$6:J$255,'Trial Balance'!$C$6:$C$255,$A26)</f>
        <v>703349</v>
      </c>
      <c r="J26" s="48" t="n">
        <f aca="false">SUMIFS('Trial Balance'!K$6:K$255,'Trial Balance'!$C$6:$C$255,$A26)</f>
        <v>705662</v>
      </c>
      <c r="K26" s="48" t="n">
        <f aca="false">SUMIFS('Trial Balance'!L$6:L$255,'Trial Balance'!$C$6:$C$255,$A26)</f>
        <v>709812</v>
      </c>
      <c r="L26" s="48" t="n">
        <f aca="false">SUMIFS('Trial Balance'!M$6:M$255,'Trial Balance'!$C$6:$C$255,$A26)</f>
        <v>717272</v>
      </c>
      <c r="M26" s="48" t="n">
        <f aca="false">SUMIFS('Trial Balance'!N$6:N$255,'Trial Balance'!$C$6:$C$255,$A26)</f>
        <v>731399</v>
      </c>
      <c r="N26" s="48" t="n">
        <f aca="false">SUMIFS('Trial Balance'!O$6:O$255,'Trial Balance'!$C$6:$C$255,$A26)</f>
        <v>0</v>
      </c>
      <c r="O26" s="48" t="n">
        <f aca="false">SUMIFS('Trial Balance'!P$6:P$255,'Trial Balance'!$C$6:$C$255,$A26)</f>
        <v>0</v>
      </c>
      <c r="P26" s="48" t="n">
        <f aca="false">SUMIFS('Trial Balance'!Q$6:Q$255,'Trial Balance'!$C$6:$C$255,$A26)</f>
        <v>0</v>
      </c>
    </row>
    <row r="27" customFormat="false" ht="15" hidden="false" customHeight="false" outlineLevel="0" collapsed="false">
      <c r="A27" s="12" t="s">
        <v>110</v>
      </c>
      <c r="B27" s="28" t="s">
        <v>111</v>
      </c>
      <c r="C27" s="28" t="n">
        <v>1</v>
      </c>
      <c r="D27" s="48" t="n">
        <f aca="false">IF($B27="IS",0,SUMIFS('Trial Balance'!$E$6:$E$255,'Trial Balance'!$C$6:$C$255,$A27))</f>
        <v>1010000</v>
      </c>
      <c r="E27" s="48" t="n">
        <f aca="false">SUMIFS('Trial Balance'!F$6:F$255,'Trial Balance'!$C$6:$C$255,$A27)</f>
        <v>1026139</v>
      </c>
      <c r="F27" s="48" t="n">
        <f aca="false">SUMIFS('Trial Balance'!G$6:G$255,'Trial Balance'!$C$6:$C$255,$A27)</f>
        <v>1063539</v>
      </c>
      <c r="G27" s="48" t="n">
        <f aca="false">SUMIFS('Trial Balance'!H$6:H$255,'Trial Balance'!$C$6:$C$255,$A27)</f>
        <v>1118911</v>
      </c>
      <c r="H27" s="48" t="n">
        <f aca="false">SUMIFS('Trial Balance'!I$6:I$255,'Trial Balance'!$C$6:$C$255,$A27)</f>
        <v>1151030</v>
      </c>
      <c r="I27" s="48" t="n">
        <f aca="false">SUMIFS('Trial Balance'!J$6:J$255,'Trial Balance'!$C$6:$C$255,$A27)</f>
        <v>1195051</v>
      </c>
      <c r="J27" s="48" t="n">
        <f aca="false">SUMIFS('Trial Balance'!K$6:K$255,'Trial Balance'!$C$6:$C$255,$A27)</f>
        <v>1202718</v>
      </c>
      <c r="K27" s="48" t="n">
        <f aca="false">SUMIFS('Trial Balance'!L$6:L$255,'Trial Balance'!$C$6:$C$255,$A27)</f>
        <v>1250332</v>
      </c>
      <c r="L27" s="48" t="n">
        <f aca="false">SUMIFS('Trial Balance'!M$6:M$255,'Trial Balance'!$C$6:$C$255,$A27)</f>
        <v>1275486</v>
      </c>
      <c r="M27" s="48" t="n">
        <f aca="false">SUMIFS('Trial Balance'!N$6:N$255,'Trial Balance'!$C$6:$C$255,$A27)</f>
        <v>1309893</v>
      </c>
      <c r="N27" s="48" t="n">
        <f aca="false">SUMIFS('Trial Balance'!O$6:O$255,'Trial Balance'!$C$6:$C$255,$A27)</f>
        <v>0</v>
      </c>
      <c r="O27" s="48" t="n">
        <f aca="false">SUMIFS('Trial Balance'!P$6:P$255,'Trial Balance'!$C$6:$C$255,$A27)</f>
        <v>0</v>
      </c>
      <c r="P27" s="48" t="n">
        <f aca="false">SUMIFS('Trial Balance'!Q$6:Q$255,'Trial Balance'!$C$6:$C$255,$A27)</f>
        <v>0</v>
      </c>
    </row>
    <row r="28" customFormat="false" ht="15" hidden="false" customHeight="false" outlineLevel="0" collapsed="false">
      <c r="A28" s="12" t="s">
        <v>123</v>
      </c>
      <c r="B28" s="28" t="s">
        <v>111</v>
      </c>
      <c r="C28" s="28" t="n">
        <v>1</v>
      </c>
      <c r="D28" s="48" t="n">
        <f aca="false">IF($B28="IS",0,SUMIFS('Trial Balance'!$E$6:$E$255,'Trial Balance'!$C$6:$C$255,$A28))</f>
        <v>97000</v>
      </c>
      <c r="E28" s="48" t="n">
        <f aca="false">SUMIFS('Trial Balance'!F$6:F$255,'Trial Balance'!$C$6:$C$255,$A28)</f>
        <v>97000</v>
      </c>
      <c r="F28" s="48" t="n">
        <f aca="false">SUMIFS('Trial Balance'!G$6:G$255,'Trial Balance'!$C$6:$C$255,$A28)</f>
        <v>97000</v>
      </c>
      <c r="G28" s="48" t="n">
        <f aca="false">SUMIFS('Trial Balance'!H$6:H$255,'Trial Balance'!$C$6:$C$255,$A28)</f>
        <v>97000</v>
      </c>
      <c r="H28" s="48" t="n">
        <f aca="false">SUMIFS('Trial Balance'!I$6:I$255,'Trial Balance'!$C$6:$C$255,$A28)</f>
        <v>97000</v>
      </c>
      <c r="I28" s="48" t="n">
        <f aca="false">SUMIFS('Trial Balance'!J$6:J$255,'Trial Balance'!$C$6:$C$255,$A28)</f>
        <v>97000</v>
      </c>
      <c r="J28" s="48" t="n">
        <f aca="false">SUMIFS('Trial Balance'!K$6:K$255,'Trial Balance'!$C$6:$C$255,$A28)</f>
        <v>97000</v>
      </c>
      <c r="K28" s="48" t="n">
        <f aca="false">SUMIFS('Trial Balance'!L$6:L$255,'Trial Balance'!$C$6:$C$255,$A28)</f>
        <v>97000</v>
      </c>
      <c r="L28" s="48" t="n">
        <f aca="false">SUMIFS('Trial Balance'!M$6:M$255,'Trial Balance'!$C$6:$C$255,$A28)</f>
        <v>97000</v>
      </c>
      <c r="M28" s="48" t="n">
        <f aca="false">SUMIFS('Trial Balance'!N$6:N$255,'Trial Balance'!$C$6:$C$255,$A28)</f>
        <v>97000</v>
      </c>
      <c r="N28" s="48" t="n">
        <f aca="false">SUMIFS('Trial Balance'!O$6:O$255,'Trial Balance'!$C$6:$C$255,$A28)</f>
        <v>0</v>
      </c>
      <c r="O28" s="48" t="n">
        <f aca="false">SUMIFS('Trial Balance'!P$6:P$255,'Trial Balance'!$C$6:$C$255,$A28)</f>
        <v>0</v>
      </c>
      <c r="P28" s="48" t="n">
        <f aca="false">SUMIFS('Trial Balance'!Q$6:Q$255,'Trial Balance'!$C$6:$C$255,$A28)</f>
        <v>0</v>
      </c>
    </row>
    <row r="29" customFormat="false" ht="15" hidden="false" customHeight="false" outlineLevel="0" collapsed="false">
      <c r="A29" s="12" t="s">
        <v>126</v>
      </c>
      <c r="B29" s="28" t="s">
        <v>111</v>
      </c>
      <c r="C29" s="28" t="n">
        <v>1</v>
      </c>
      <c r="D29" s="48" t="n">
        <f aca="false">IF($B29="IS",0,SUMIFS('Trial Balance'!$E$6:$E$255,'Trial Balance'!$C$6:$C$255,$A29))</f>
        <v>1103000</v>
      </c>
      <c r="E29" s="48" t="n">
        <f aca="false">SUMIFS('Trial Balance'!F$6:F$255,'Trial Balance'!$C$6:$C$255,$A29)</f>
        <v>1035301</v>
      </c>
      <c r="F29" s="48" t="n">
        <f aca="false">SUMIFS('Trial Balance'!G$6:G$255,'Trial Balance'!$C$6:$C$255,$A29)</f>
        <v>695144</v>
      </c>
      <c r="G29" s="48" t="n">
        <f aca="false">SUMIFS('Trial Balance'!H$6:H$255,'Trial Balance'!$C$6:$C$255,$A29)</f>
        <v>680621</v>
      </c>
      <c r="H29" s="48" t="n">
        <f aca="false">SUMIFS('Trial Balance'!I$6:I$255,'Trial Balance'!$C$6:$C$255,$A29)</f>
        <v>522450</v>
      </c>
      <c r="I29" s="48" t="n">
        <f aca="false">SUMIFS('Trial Balance'!J$6:J$255,'Trial Balance'!$C$6:$C$255,$A29)</f>
        <v>450384</v>
      </c>
      <c r="J29" s="48" t="n">
        <f aca="false">SUMIFS('Trial Balance'!K$6:K$255,'Trial Balance'!$C$6:$C$255,$A29)</f>
        <v>402746</v>
      </c>
      <c r="K29" s="48" t="n">
        <f aca="false">SUMIFS('Trial Balance'!L$6:L$255,'Trial Balance'!$C$6:$C$255,$A29)</f>
        <v>368435</v>
      </c>
      <c r="L29" s="48" t="n">
        <f aca="false">SUMIFS('Trial Balance'!M$6:M$255,'Trial Balance'!$C$6:$C$255,$A29)</f>
        <v>460667</v>
      </c>
      <c r="M29" s="48" t="n">
        <f aca="false">SUMIFS('Trial Balance'!N$6:N$255,'Trial Balance'!$C$6:$C$255,$A29)</f>
        <v>501580</v>
      </c>
      <c r="N29" s="48" t="n">
        <f aca="false">SUMIFS('Trial Balance'!O$6:O$255,'Trial Balance'!$C$6:$C$255,$A29)</f>
        <v>0</v>
      </c>
      <c r="O29" s="48" t="n">
        <f aca="false">SUMIFS('Trial Balance'!P$6:P$255,'Trial Balance'!$C$6:$C$255,$A29)</f>
        <v>0</v>
      </c>
      <c r="P29" s="48" t="n">
        <f aca="false">SUMIFS('Trial Balance'!Q$6:Q$255,'Trial Balance'!$C$6:$C$255,$A29)</f>
        <v>0</v>
      </c>
    </row>
    <row r="30" customFormat="false" ht="15" hidden="false" customHeight="false" outlineLevel="0" collapsed="false">
      <c r="A30" s="12" t="s">
        <v>148</v>
      </c>
      <c r="B30" s="28" t="s">
        <v>111</v>
      </c>
      <c r="C30" s="28" t="n">
        <v>-1</v>
      </c>
      <c r="D30" s="48" t="n">
        <f aca="false">IF($B30="IS",0,SUMIFS('Trial Balance'!$E$6:$E$255,'Trial Balance'!$C$6:$C$255,$A30))</f>
        <v>-100</v>
      </c>
      <c r="E30" s="48" t="n">
        <f aca="false">SUMIFS('Trial Balance'!F$6:F$255,'Trial Balance'!$C$6:$C$255,$A30)</f>
        <v>-100</v>
      </c>
      <c r="F30" s="48" t="n">
        <f aca="false">SUMIFS('Trial Balance'!G$6:G$255,'Trial Balance'!$C$6:$C$255,$A30)</f>
        <v>-100</v>
      </c>
      <c r="G30" s="48" t="n">
        <f aca="false">SUMIFS('Trial Balance'!H$6:H$255,'Trial Balance'!$C$6:$C$255,$A30)</f>
        <v>-100</v>
      </c>
      <c r="H30" s="48" t="n">
        <f aca="false">SUMIFS('Trial Balance'!I$6:I$255,'Trial Balance'!$C$6:$C$255,$A30)</f>
        <v>-100</v>
      </c>
      <c r="I30" s="48" t="n">
        <f aca="false">SUMIFS('Trial Balance'!J$6:J$255,'Trial Balance'!$C$6:$C$255,$A30)</f>
        <v>-100</v>
      </c>
      <c r="J30" s="48" t="n">
        <f aca="false">SUMIFS('Trial Balance'!K$6:K$255,'Trial Balance'!$C$6:$C$255,$A30)</f>
        <v>-100</v>
      </c>
      <c r="K30" s="48" t="n">
        <f aca="false">SUMIFS('Trial Balance'!L$6:L$255,'Trial Balance'!$C$6:$C$255,$A30)</f>
        <v>-100</v>
      </c>
      <c r="L30" s="48" t="n">
        <f aca="false">SUMIFS('Trial Balance'!M$6:M$255,'Trial Balance'!$C$6:$C$255,$A30)</f>
        <v>-100</v>
      </c>
      <c r="M30" s="48" t="n">
        <f aca="false">SUMIFS('Trial Balance'!N$6:N$255,'Trial Balance'!$C$6:$C$255,$A30)</f>
        <v>-100</v>
      </c>
      <c r="N30" s="48" t="n">
        <f aca="false">SUMIFS('Trial Balance'!O$6:O$255,'Trial Balance'!$C$6:$C$255,$A30)</f>
        <v>0</v>
      </c>
      <c r="O30" s="48" t="n">
        <f aca="false">SUMIFS('Trial Balance'!P$6:P$255,'Trial Balance'!$C$6:$C$255,$A30)</f>
        <v>0</v>
      </c>
      <c r="P30" s="48" t="n">
        <f aca="false">SUMIFS('Trial Balance'!Q$6:Q$255,'Trial Balance'!$C$6:$C$255,$A30)</f>
        <v>0</v>
      </c>
    </row>
    <row r="31" customFormat="false" ht="15" hidden="false" customHeight="false" outlineLevel="0" collapsed="false">
      <c r="A31" s="12" t="s">
        <v>150</v>
      </c>
      <c r="B31" s="28" t="s">
        <v>111</v>
      </c>
      <c r="C31" s="28" t="n">
        <v>-1</v>
      </c>
      <c r="D31" s="48" t="n">
        <f aca="false">IF($B31="IS",0,SUMIFS('Trial Balance'!$E$6:$E$255,'Trial Balance'!$C$6:$C$255,$A31))</f>
        <v>-1640900</v>
      </c>
      <c r="E31" s="48" t="n">
        <f aca="false">SUMIFS('Trial Balance'!F$6:F$255,'Trial Balance'!$C$6:$C$255,$A31)</f>
        <v>-1640900</v>
      </c>
      <c r="F31" s="48" t="n">
        <f aca="false">SUMIFS('Trial Balance'!G$6:G$255,'Trial Balance'!$C$6:$C$255,$A31)</f>
        <v>-1640900</v>
      </c>
      <c r="G31" s="48" t="n">
        <f aca="false">SUMIFS('Trial Balance'!H$6:H$255,'Trial Balance'!$C$6:$C$255,$A31)</f>
        <v>-1640900</v>
      </c>
      <c r="H31" s="48" t="n">
        <f aca="false">SUMIFS('Trial Balance'!I$6:I$255,'Trial Balance'!$C$6:$C$255,$A31)</f>
        <v>-1640900</v>
      </c>
      <c r="I31" s="48" t="n">
        <f aca="false">SUMIFS('Trial Balance'!J$6:J$255,'Trial Balance'!$C$6:$C$255,$A31)</f>
        <v>-1640900</v>
      </c>
      <c r="J31" s="48" t="n">
        <f aca="false">SUMIFS('Trial Balance'!K$6:K$255,'Trial Balance'!$C$6:$C$255,$A31)</f>
        <v>-1640900</v>
      </c>
      <c r="K31" s="48" t="n">
        <f aca="false">SUMIFS('Trial Balance'!L$6:L$255,'Trial Balance'!$C$6:$C$255,$A31)</f>
        <v>-1640900</v>
      </c>
      <c r="L31" s="48" t="n">
        <f aca="false">SUMIFS('Trial Balance'!M$6:M$255,'Trial Balance'!$C$6:$C$255,$A31)</f>
        <v>-1640900</v>
      </c>
      <c r="M31" s="48" t="n">
        <f aca="false">SUMIFS('Trial Balance'!N$6:N$255,'Trial Balance'!$C$6:$C$255,$A31)</f>
        <v>-1640900</v>
      </c>
      <c r="N31" s="48" t="n">
        <f aca="false">SUMIFS('Trial Balance'!O$6:O$255,'Trial Balance'!$C$6:$C$255,$A31)</f>
        <v>0</v>
      </c>
      <c r="O31" s="48" t="n">
        <f aca="false">SUMIFS('Trial Balance'!P$6:P$255,'Trial Balance'!$C$6:$C$255,$A31)</f>
        <v>0</v>
      </c>
      <c r="P31" s="48" t="n">
        <f aca="false">SUMIFS('Trial Balance'!Q$6:Q$255,'Trial Balance'!$C$6:$C$255,$A31)</f>
        <v>0</v>
      </c>
    </row>
    <row r="32" customFormat="false" ht="15" hidden="false" customHeight="false" outlineLevel="0" collapsed="false">
      <c r="A32" s="12" t="s">
        <v>152</v>
      </c>
      <c r="B32" s="28" t="s">
        <v>111</v>
      </c>
      <c r="C32" s="28" t="n">
        <v>-1</v>
      </c>
      <c r="D32" s="48" t="n">
        <f aca="false">IF($B32="IS",0,SUMIFS('Trial Balance'!$E$6:$E$255,'Trial Balance'!$C$6:$C$255,$A32))</f>
        <v>0</v>
      </c>
      <c r="E32" s="48" t="n">
        <f aca="false">SUMIFS('Trial Balance'!F$6:F$255,'Trial Balance'!$C$6:$C$255,$A32)</f>
        <v>0</v>
      </c>
      <c r="F32" s="48" t="n">
        <f aca="false">SUMIFS('Trial Balance'!G$6:G$255,'Trial Balance'!$C$6:$C$255,$A32)</f>
        <v>0</v>
      </c>
      <c r="G32" s="48" t="n">
        <f aca="false">SUMIFS('Trial Balance'!H$6:H$255,'Trial Balance'!$C$6:$C$255,$A32)</f>
        <v>0</v>
      </c>
      <c r="H32" s="48" t="n">
        <f aca="false">SUMIFS('Trial Balance'!I$6:I$255,'Trial Balance'!$C$6:$C$255,$A32)</f>
        <v>0</v>
      </c>
      <c r="I32" s="48" t="n">
        <f aca="false">SUMIFS('Trial Balance'!J$6:J$255,'Trial Balance'!$C$6:$C$255,$A32)</f>
        <v>100000</v>
      </c>
      <c r="J32" s="48" t="n">
        <f aca="false">SUMIFS('Trial Balance'!K$6:K$255,'Trial Balance'!$C$6:$C$255,$A32)</f>
        <v>100000</v>
      </c>
      <c r="K32" s="48" t="n">
        <f aca="false">SUMIFS('Trial Balance'!L$6:L$255,'Trial Balance'!$C$6:$C$255,$A32)</f>
        <v>100000</v>
      </c>
      <c r="L32" s="48" t="n">
        <f aca="false">SUMIFS('Trial Balance'!M$6:M$255,'Trial Balance'!$C$6:$C$255,$A32)</f>
        <v>100000</v>
      </c>
      <c r="M32" s="48" t="n">
        <f aca="false">SUMIFS('Trial Balance'!N$6:N$255,'Trial Balance'!$C$6:$C$255,$A32)</f>
        <v>100000</v>
      </c>
      <c r="N32" s="48" t="n">
        <f aca="false">SUMIFS('Trial Balance'!O$6:O$255,'Trial Balance'!$C$6:$C$255,$A32)</f>
        <v>0</v>
      </c>
      <c r="O32" s="48" t="n">
        <f aca="false">SUMIFS('Trial Balance'!P$6:P$255,'Trial Balance'!$C$6:$C$255,$A32)</f>
        <v>0</v>
      </c>
      <c r="P32" s="48" t="n">
        <f aca="false">SUMIFS('Trial Balance'!Q$6:Q$255,'Trial Balance'!$C$6:$C$255,$A32)</f>
        <v>0</v>
      </c>
    </row>
    <row r="33" customFormat="false" ht="15" hidden="false" customHeight="false" outlineLevel="0" collapsed="false">
      <c r="A33" s="12" t="s">
        <v>145</v>
      </c>
      <c r="B33" s="28" t="s">
        <v>111</v>
      </c>
      <c r="C33" s="28" t="n">
        <v>-1</v>
      </c>
      <c r="D33" s="48" t="n">
        <f aca="false">IF($B33="IS",0,SUMIFS('Trial Balance'!$E$6:$E$255,'Trial Balance'!$C$6:$C$255,$A33))</f>
        <v>-620000</v>
      </c>
      <c r="E33" s="48" t="n">
        <f aca="false">SUMIFS('Trial Balance'!F$6:F$255,'Trial Balance'!$C$6:$C$255,$A33)</f>
        <v>-608000</v>
      </c>
      <c r="F33" s="48" t="n">
        <f aca="false">SUMIFS('Trial Balance'!G$6:G$255,'Trial Balance'!$C$6:$C$255,$A33)</f>
        <v>-596000</v>
      </c>
      <c r="G33" s="48" t="n">
        <f aca="false">SUMIFS('Trial Balance'!H$6:H$255,'Trial Balance'!$C$6:$C$255,$A33)</f>
        <v>-584000</v>
      </c>
      <c r="H33" s="48" t="n">
        <f aca="false">SUMIFS('Trial Balance'!I$6:I$255,'Trial Balance'!$C$6:$C$255,$A33)</f>
        <v>-572000</v>
      </c>
      <c r="I33" s="48" t="n">
        <f aca="false">SUMIFS('Trial Balance'!J$6:J$255,'Trial Balance'!$C$6:$C$255,$A33)</f>
        <v>-560000</v>
      </c>
      <c r="J33" s="48" t="n">
        <f aca="false">SUMIFS('Trial Balance'!K$6:K$255,'Trial Balance'!$C$6:$C$255,$A33)</f>
        <v>-548000</v>
      </c>
      <c r="K33" s="48" t="n">
        <f aca="false">SUMIFS('Trial Balance'!L$6:L$255,'Trial Balance'!$C$6:$C$255,$A33)</f>
        <v>-536000</v>
      </c>
      <c r="L33" s="48" t="n">
        <f aca="false">SUMIFS('Trial Balance'!M$6:M$255,'Trial Balance'!$C$6:$C$255,$A33)</f>
        <v>-524000</v>
      </c>
      <c r="M33" s="48" t="n">
        <f aca="false">SUMIFS('Trial Balance'!N$6:N$255,'Trial Balance'!$C$6:$C$255,$A33)</f>
        <v>-512000</v>
      </c>
      <c r="N33" s="48" t="n">
        <f aca="false">SUMIFS('Trial Balance'!O$6:O$255,'Trial Balance'!$C$6:$C$255,$A33)</f>
        <v>0</v>
      </c>
      <c r="O33" s="48" t="n">
        <f aca="false">SUMIFS('Trial Balance'!P$6:P$255,'Trial Balance'!$C$6:$C$255,$A33)</f>
        <v>0</v>
      </c>
      <c r="P33" s="48" t="n">
        <f aca="false">SUMIFS('Trial Balance'!Q$6:Q$255,'Trial Balance'!$C$6:$C$255,$A33)</f>
        <v>0</v>
      </c>
    </row>
    <row r="34" customFormat="false" ht="15" hidden="false" customHeight="false" outlineLevel="0" collapsed="false">
      <c r="A34" s="12" t="s">
        <v>147</v>
      </c>
      <c r="B34" s="28" t="s">
        <v>111</v>
      </c>
      <c r="C34" s="28" t="n">
        <v>-1</v>
      </c>
      <c r="D34" s="48" t="n">
        <f aca="false">IF($B34="IS",0,SUMIFS('Trial Balance'!$E$6:$E$255,'Trial Balance'!$C$6:$C$255,$A34))</f>
        <v>-300000</v>
      </c>
      <c r="E34" s="48" t="n">
        <f aca="false">SUMIFS('Trial Balance'!F$6:F$255,'Trial Balance'!$C$6:$C$255,$A34)</f>
        <v>-300000</v>
      </c>
      <c r="F34" s="48" t="n">
        <f aca="false">SUMIFS('Trial Balance'!G$6:G$255,'Trial Balance'!$C$6:$C$255,$A34)</f>
        <v>-300000</v>
      </c>
      <c r="G34" s="48" t="n">
        <f aca="false">SUMIFS('Trial Balance'!H$6:H$255,'Trial Balance'!$C$6:$C$255,$A34)</f>
        <v>-300000</v>
      </c>
      <c r="H34" s="48" t="n">
        <f aca="false">SUMIFS('Trial Balance'!I$6:I$255,'Trial Balance'!$C$6:$C$255,$A34)</f>
        <v>-300000</v>
      </c>
      <c r="I34" s="48" t="n">
        <f aca="false">SUMIFS('Trial Balance'!J$6:J$255,'Trial Balance'!$C$6:$C$255,$A34)</f>
        <v>-300000</v>
      </c>
      <c r="J34" s="48" t="n">
        <f aca="false">SUMIFS('Trial Balance'!K$6:K$255,'Trial Balance'!$C$6:$C$255,$A34)</f>
        <v>-280000</v>
      </c>
      <c r="K34" s="48" t="n">
        <f aca="false">SUMIFS('Trial Balance'!L$6:L$255,'Trial Balance'!$C$6:$C$255,$A34)</f>
        <v>-280000</v>
      </c>
      <c r="L34" s="48" t="n">
        <f aca="false">SUMIFS('Trial Balance'!M$6:M$255,'Trial Balance'!$C$6:$C$255,$A34)</f>
        <v>-280000</v>
      </c>
      <c r="M34" s="48" t="n">
        <f aca="false">SUMIFS('Trial Balance'!N$6:N$255,'Trial Balance'!$C$6:$C$255,$A34)</f>
        <v>-280000</v>
      </c>
      <c r="N34" s="48" t="n">
        <f aca="false">SUMIFS('Trial Balance'!O$6:O$255,'Trial Balance'!$C$6:$C$255,$A34)</f>
        <v>0</v>
      </c>
      <c r="O34" s="48" t="n">
        <f aca="false">SUMIFS('Trial Balance'!P$6:P$255,'Trial Balance'!$C$6:$C$255,$A34)</f>
        <v>0</v>
      </c>
      <c r="P34" s="48" t="n">
        <f aca="false">SUMIFS('Trial Balance'!Q$6:Q$255,'Trial Balance'!$C$6:$C$255,$A34)</f>
        <v>0</v>
      </c>
    </row>
    <row r="35" customFormat="false" ht="15" hidden="false" customHeight="false" outlineLevel="0" collapsed="false">
      <c r="A35" s="12" t="s">
        <v>130</v>
      </c>
      <c r="B35" s="28" t="s">
        <v>111</v>
      </c>
      <c r="C35" s="28" t="n">
        <v>-1</v>
      </c>
      <c r="D35" s="48" t="n">
        <f aca="false">IF($B35="IS",0,SUMIFS('Trial Balance'!$E$6:$E$255,'Trial Balance'!$C$6:$C$255,$A35))</f>
        <v>-690000</v>
      </c>
      <c r="E35" s="48" t="n">
        <f aca="false">SUMIFS('Trial Balance'!F$6:F$255,'Trial Balance'!$C$6:$C$255,$A35)</f>
        <v>-706071</v>
      </c>
      <c r="F35" s="48" t="n">
        <f aca="false">SUMIFS('Trial Balance'!G$6:G$255,'Trial Balance'!$C$6:$C$255,$A35)</f>
        <v>-736185</v>
      </c>
      <c r="G35" s="48" t="n">
        <f aca="false">SUMIFS('Trial Balance'!H$6:H$255,'Trial Balance'!$C$6:$C$255,$A35)</f>
        <v>-772730</v>
      </c>
      <c r="H35" s="48" t="n">
        <f aca="false">SUMIFS('Trial Balance'!I$6:I$255,'Trial Balance'!$C$6:$C$255,$A35)</f>
        <v>-773738</v>
      </c>
      <c r="I35" s="48" t="n">
        <f aca="false">SUMIFS('Trial Balance'!J$6:J$255,'Trial Balance'!$C$6:$C$255,$A35)</f>
        <v>-830305</v>
      </c>
      <c r="J35" s="48" t="n">
        <f aca="false">SUMIFS('Trial Balance'!K$6:K$255,'Trial Balance'!$C$6:$C$255,$A35)</f>
        <v>-813344</v>
      </c>
      <c r="K35" s="48" t="n">
        <f aca="false">SUMIFS('Trial Balance'!L$6:L$255,'Trial Balance'!$C$6:$C$255,$A35)</f>
        <v>-840240</v>
      </c>
      <c r="L35" s="48" t="n">
        <f aca="false">SUMIFS('Trial Balance'!M$6:M$255,'Trial Balance'!$C$6:$C$255,$A35)</f>
        <v>-841811</v>
      </c>
      <c r="M35" s="48" t="n">
        <f aca="false">SUMIFS('Trial Balance'!N$6:N$255,'Trial Balance'!$C$6:$C$255,$A35)</f>
        <v>-868605</v>
      </c>
      <c r="N35" s="48" t="n">
        <f aca="false">SUMIFS('Trial Balance'!O$6:O$255,'Trial Balance'!$C$6:$C$255,$A35)</f>
        <v>0</v>
      </c>
      <c r="O35" s="48" t="n">
        <f aca="false">SUMIFS('Trial Balance'!P$6:P$255,'Trial Balance'!$C$6:$C$255,$A35)</f>
        <v>0</v>
      </c>
      <c r="P35" s="48" t="n">
        <f aca="false">SUMIFS('Trial Balance'!Q$6:Q$255,'Trial Balance'!$C$6:$C$255,$A35)</f>
        <v>0</v>
      </c>
    </row>
    <row r="36" customFormat="false" ht="15" hidden="false" customHeight="false" outlineLevel="0" collapsed="false">
      <c r="A36" s="12" t="s">
        <v>132</v>
      </c>
      <c r="B36" s="28" t="s">
        <v>111</v>
      </c>
      <c r="C36" s="28" t="n">
        <v>-1</v>
      </c>
      <c r="D36" s="48" t="n">
        <f aca="false">IF($B36="IS",0,SUMIFS('Trial Balance'!$E$6:$E$255,'Trial Balance'!$C$6:$C$255,$A36))</f>
        <v>-160000</v>
      </c>
      <c r="E36" s="48" t="n">
        <f aca="false">SUMIFS('Trial Balance'!F$6:F$255,'Trial Balance'!$C$6:$C$255,$A36)</f>
        <v>-174000</v>
      </c>
      <c r="F36" s="48" t="n">
        <f aca="false">SUMIFS('Trial Balance'!G$6:G$255,'Trial Balance'!$C$6:$C$255,$A36)</f>
        <v>-28000</v>
      </c>
      <c r="G36" s="48" t="n">
        <f aca="false">SUMIFS('Trial Balance'!H$6:H$255,'Trial Balance'!$C$6:$C$255,$A36)</f>
        <v>-42000</v>
      </c>
      <c r="H36" s="48" t="n">
        <f aca="false">SUMIFS('Trial Balance'!I$6:I$255,'Trial Balance'!$C$6:$C$255,$A36)</f>
        <v>-56000</v>
      </c>
      <c r="I36" s="48" t="n">
        <f aca="false">SUMIFS('Trial Balance'!J$6:J$255,'Trial Balance'!$C$6:$C$255,$A36)</f>
        <v>-70000</v>
      </c>
      <c r="J36" s="48" t="n">
        <f aca="false">SUMIFS('Trial Balance'!K$6:K$255,'Trial Balance'!$C$6:$C$255,$A36)</f>
        <v>-48000</v>
      </c>
      <c r="K36" s="48" t="n">
        <f aca="false">SUMIFS('Trial Balance'!L$6:L$255,'Trial Balance'!$C$6:$C$255,$A36)</f>
        <v>-62000</v>
      </c>
      <c r="L36" s="48" t="n">
        <f aca="false">SUMIFS('Trial Balance'!M$6:M$255,'Trial Balance'!$C$6:$C$255,$A36)</f>
        <v>-76000</v>
      </c>
      <c r="M36" s="48" t="n">
        <f aca="false">SUMIFS('Trial Balance'!N$6:N$255,'Trial Balance'!$C$6:$C$255,$A36)</f>
        <v>-90000</v>
      </c>
      <c r="N36" s="48" t="n">
        <f aca="false">SUMIFS('Trial Balance'!O$6:O$255,'Trial Balance'!$C$6:$C$255,$A36)</f>
        <v>0</v>
      </c>
      <c r="O36" s="48" t="n">
        <f aca="false">SUMIFS('Trial Balance'!P$6:P$255,'Trial Balance'!$C$6:$C$255,$A36)</f>
        <v>0</v>
      </c>
      <c r="P36" s="48" t="n">
        <f aca="false">SUMIFS('Trial Balance'!Q$6:Q$255,'Trial Balance'!$C$6:$C$255,$A36)</f>
        <v>0</v>
      </c>
    </row>
    <row r="37" customFormat="false" ht="15" hidden="false" customHeight="false" outlineLevel="0" collapsed="false">
      <c r="A37" s="12" t="s">
        <v>135</v>
      </c>
      <c r="B37" s="28" t="s">
        <v>111</v>
      </c>
      <c r="C37" s="28" t="n">
        <v>-1</v>
      </c>
      <c r="D37" s="48" t="n">
        <f aca="false">IF($B37="IS",0,SUMIFS('Trial Balance'!$E$6:$E$255,'Trial Balance'!$C$6:$C$255,$A37))</f>
        <v>-95000</v>
      </c>
      <c r="E37" s="48" t="n">
        <f aca="false">SUMIFS('Trial Balance'!F$6:F$255,'Trial Balance'!$C$6:$C$255,$A37)</f>
        <v>-25721</v>
      </c>
      <c r="F37" s="48" t="n">
        <f aca="false">SUMIFS('Trial Balance'!G$6:G$255,'Trial Balance'!$C$6:$C$255,$A37)</f>
        <v>-52800</v>
      </c>
      <c r="G37" s="48" t="n">
        <f aca="false">SUMIFS('Trial Balance'!H$6:H$255,'Trial Balance'!$C$6:$C$255,$A37)</f>
        <v>-29738</v>
      </c>
      <c r="H37" s="48" t="n">
        <f aca="false">SUMIFS('Trial Balance'!I$6:I$255,'Trial Balance'!$C$6:$C$255,$A37)</f>
        <v>-35867</v>
      </c>
      <c r="I37" s="48" t="n">
        <f aca="false">SUMIFS('Trial Balance'!J$6:J$255,'Trial Balance'!$C$6:$C$255,$A37)</f>
        <v>-28861</v>
      </c>
      <c r="J37" s="48" t="n">
        <f aca="false">SUMIFS('Trial Balance'!K$6:K$255,'Trial Balance'!$C$6:$C$255,$A37)</f>
        <v>-61853</v>
      </c>
      <c r="K37" s="48" t="n">
        <f aca="false">SUMIFS('Trial Balance'!L$6:L$255,'Trial Balance'!$C$6:$C$255,$A37)</f>
        <v>-28762</v>
      </c>
      <c r="L37" s="48" t="n">
        <f aca="false">SUMIFS('Trial Balance'!M$6:M$255,'Trial Balance'!$C$6:$C$255,$A37)</f>
        <v>-66332</v>
      </c>
      <c r="M37" s="48" t="n">
        <f aca="false">SUMIFS('Trial Balance'!N$6:N$255,'Trial Balance'!$C$6:$C$255,$A37)</f>
        <v>-37308</v>
      </c>
      <c r="N37" s="48" t="n">
        <f aca="false">SUMIFS('Trial Balance'!O$6:O$255,'Trial Balance'!$C$6:$C$255,$A37)</f>
        <v>0</v>
      </c>
      <c r="O37" s="48" t="n">
        <f aca="false">SUMIFS('Trial Balance'!P$6:P$255,'Trial Balance'!$C$6:$C$255,$A37)</f>
        <v>0</v>
      </c>
      <c r="P37" s="48" t="n">
        <f aca="false">SUMIFS('Trial Balance'!Q$6:Q$255,'Trial Balance'!$C$6:$C$255,$A37)</f>
        <v>0</v>
      </c>
    </row>
    <row r="38" customFormat="false" ht="15" hidden="false" customHeight="false" outlineLevel="0" collapsed="false">
      <c r="A38" s="12" t="s">
        <v>137</v>
      </c>
      <c r="B38" s="28" t="s">
        <v>111</v>
      </c>
      <c r="C38" s="28" t="n">
        <v>-1</v>
      </c>
      <c r="D38" s="48" t="n">
        <f aca="false">IF($B38="IS",0,SUMIFS('Trial Balance'!$E$6:$E$255,'Trial Balance'!$C$6:$C$255,$A38))</f>
        <v>-24000</v>
      </c>
      <c r="E38" s="48" t="n">
        <f aca="false">SUMIFS('Trial Balance'!F$6:F$255,'Trial Balance'!$C$6:$C$255,$A38)</f>
        <v>-24120</v>
      </c>
      <c r="F38" s="48" t="n">
        <f aca="false">SUMIFS('Trial Balance'!G$6:G$255,'Trial Balance'!$C$6:$C$255,$A38)</f>
        <v>-24240</v>
      </c>
      <c r="G38" s="48" t="n">
        <f aca="false">SUMIFS('Trial Balance'!H$6:H$255,'Trial Balance'!$C$6:$C$255,$A38)</f>
        <v>-24360</v>
      </c>
      <c r="H38" s="48" t="n">
        <f aca="false">SUMIFS('Trial Balance'!I$6:I$255,'Trial Balance'!$C$6:$C$255,$A38)</f>
        <v>-24480</v>
      </c>
      <c r="I38" s="48" t="n">
        <f aca="false">SUMIFS('Trial Balance'!J$6:J$255,'Trial Balance'!$C$6:$C$255,$A38)</f>
        <v>-24600</v>
      </c>
      <c r="J38" s="48" t="n">
        <f aca="false">SUMIFS('Trial Balance'!K$6:K$255,'Trial Balance'!$C$6:$C$255,$A38)</f>
        <v>-24720</v>
      </c>
      <c r="K38" s="48" t="n">
        <f aca="false">SUMIFS('Trial Balance'!L$6:L$255,'Trial Balance'!$C$6:$C$255,$A38)</f>
        <v>-24840</v>
      </c>
      <c r="L38" s="48" t="n">
        <f aca="false">SUMIFS('Trial Balance'!M$6:M$255,'Trial Balance'!$C$6:$C$255,$A38)</f>
        <v>-24960</v>
      </c>
      <c r="M38" s="48" t="n">
        <f aca="false">SUMIFS('Trial Balance'!N$6:N$255,'Trial Balance'!$C$6:$C$255,$A38)</f>
        <v>-25080</v>
      </c>
      <c r="N38" s="48" t="n">
        <f aca="false">SUMIFS('Trial Balance'!O$6:O$255,'Trial Balance'!$C$6:$C$255,$A38)</f>
        <v>0</v>
      </c>
      <c r="O38" s="48" t="n">
        <f aca="false">SUMIFS('Trial Balance'!P$6:P$255,'Trial Balance'!$C$6:$C$255,$A38)</f>
        <v>0</v>
      </c>
      <c r="P38" s="48" t="n">
        <f aca="false">SUMIFS('Trial Balance'!Q$6:Q$255,'Trial Balance'!$C$6:$C$255,$A38)</f>
        <v>0</v>
      </c>
    </row>
    <row r="39" customFormat="false" ht="15" hidden="false" customHeight="false" outlineLevel="0" collapsed="false">
      <c r="A39" s="12" t="s">
        <v>140</v>
      </c>
      <c r="B39" s="28" t="s">
        <v>111</v>
      </c>
      <c r="C39" s="28" t="n">
        <v>-1</v>
      </c>
      <c r="D39" s="48" t="n">
        <f aca="false">IF($B39="IS",0,SUMIFS('Trial Balance'!$E$6:$E$255,'Trial Balance'!$C$6:$C$255,$A39))</f>
        <v>-210000</v>
      </c>
      <c r="E39" s="48" t="n">
        <f aca="false">SUMIFS('Trial Balance'!F$6:F$255,'Trial Balance'!$C$6:$C$255,$A39)</f>
        <v>-212002</v>
      </c>
      <c r="F39" s="48" t="n">
        <f aca="false">SUMIFS('Trial Balance'!G$6:G$255,'Trial Balance'!$C$6:$C$255,$A39)</f>
        <v>-5879</v>
      </c>
      <c r="G39" s="48" t="n">
        <f aca="false">SUMIFS('Trial Balance'!H$6:H$255,'Trial Balance'!$C$6:$C$255,$A39)</f>
        <v>-18280</v>
      </c>
      <c r="H39" s="48" t="n">
        <f aca="false">SUMIFS('Trial Balance'!I$6:I$255,'Trial Balance'!$C$6:$C$255,$A39)</f>
        <v>-30586</v>
      </c>
      <c r="I39" s="48" t="n">
        <f aca="false">SUMIFS('Trial Balance'!J$6:J$255,'Trial Balance'!$C$6:$C$255,$A39)</f>
        <v>-41315</v>
      </c>
      <c r="J39" s="48" t="n">
        <f aca="false">SUMIFS('Trial Balance'!K$6:K$255,'Trial Balance'!$C$6:$C$255,$A39)</f>
        <v>-5322</v>
      </c>
      <c r="K39" s="48" t="n">
        <f aca="false">SUMIFS('Trial Balance'!L$6:L$255,'Trial Balance'!$C$6:$C$255,$A39)</f>
        <v>-22205</v>
      </c>
      <c r="L39" s="48" t="n">
        <f aca="false">SUMIFS('Trial Balance'!M$6:M$255,'Trial Balance'!$C$6:$C$255,$A39)</f>
        <v>-43490</v>
      </c>
      <c r="M39" s="48" t="n">
        <f aca="false">SUMIFS('Trial Balance'!N$6:N$255,'Trial Balance'!$C$6:$C$255,$A39)</f>
        <v>-66388</v>
      </c>
      <c r="N39" s="48" t="n">
        <f aca="false">SUMIFS('Trial Balance'!O$6:O$255,'Trial Balance'!$C$6:$C$255,$A39)</f>
        <v>0</v>
      </c>
      <c r="O39" s="48" t="n">
        <f aca="false">SUMIFS('Trial Balance'!P$6:P$255,'Trial Balance'!$C$6:$C$255,$A39)</f>
        <v>0</v>
      </c>
      <c r="P39" s="48" t="n">
        <f aca="false">SUMIFS('Trial Balance'!Q$6:Q$255,'Trial Balance'!$C$6:$C$255,$A39)</f>
        <v>0</v>
      </c>
    </row>
    <row r="40" customFormat="false" ht="15" hidden="false" customHeight="false" outlineLevel="0" collapsed="false">
      <c r="A40" s="12" t="s">
        <v>142</v>
      </c>
      <c r="B40" s="28" t="s">
        <v>111</v>
      </c>
      <c r="C40" s="28" t="n">
        <v>-1</v>
      </c>
      <c r="D40" s="48" t="n">
        <f aca="false">IF($B40="IS",0,SUMIFS('Trial Balance'!$E$6:$E$255,'Trial Balance'!$C$6:$C$255,$A40))</f>
        <v>-180000</v>
      </c>
      <c r="E40" s="48" t="n">
        <f aca="false">SUMIFS('Trial Balance'!F$6:F$255,'Trial Balance'!$C$6:$C$255,$A40)</f>
        <v>-165000</v>
      </c>
      <c r="F40" s="48" t="n">
        <f aca="false">SUMIFS('Trial Balance'!G$6:G$255,'Trial Balance'!$C$6:$C$255,$A40)</f>
        <v>-150000</v>
      </c>
      <c r="G40" s="48" t="n">
        <f aca="false">SUMIFS('Trial Balance'!H$6:H$255,'Trial Balance'!$C$6:$C$255,$A40)</f>
        <v>-135000</v>
      </c>
      <c r="H40" s="48" t="n">
        <f aca="false">SUMIFS('Trial Balance'!I$6:I$255,'Trial Balance'!$C$6:$C$255,$A40)</f>
        <v>-120000</v>
      </c>
      <c r="I40" s="48" t="n">
        <f aca="false">SUMIFS('Trial Balance'!J$6:J$255,'Trial Balance'!$C$6:$C$255,$A40)</f>
        <v>-105000</v>
      </c>
      <c r="J40" s="48" t="n">
        <f aca="false">SUMIFS('Trial Balance'!K$6:K$255,'Trial Balance'!$C$6:$C$255,$A40)</f>
        <v>-90000</v>
      </c>
      <c r="K40" s="48" t="n">
        <f aca="false">SUMIFS('Trial Balance'!L$6:L$255,'Trial Balance'!$C$6:$C$255,$A40)</f>
        <v>-75000</v>
      </c>
      <c r="L40" s="48" t="n">
        <f aca="false">SUMIFS('Trial Balance'!M$6:M$255,'Trial Balance'!$C$6:$C$255,$A40)</f>
        <v>-60000</v>
      </c>
      <c r="M40" s="48" t="n">
        <f aca="false">SUMIFS('Trial Balance'!N$6:N$255,'Trial Balance'!$C$6:$C$255,$A40)</f>
        <v>-45000</v>
      </c>
      <c r="N40" s="48" t="n">
        <f aca="false">SUMIFS('Trial Balance'!O$6:O$255,'Trial Balance'!$C$6:$C$255,$A40)</f>
        <v>0</v>
      </c>
      <c r="O40" s="48" t="n">
        <f aca="false">SUMIFS('Trial Balance'!P$6:P$255,'Trial Balance'!$C$6:$C$255,$A40)</f>
        <v>0</v>
      </c>
      <c r="P40" s="48" t="n">
        <f aca="false">SUMIFS('Trial Balance'!Q$6:Q$255,'Trial Balance'!$C$6:$C$255,$A40)</f>
        <v>0</v>
      </c>
    </row>
    <row r="41" customFormat="false" ht="15" hidden="false" customHeight="false" outlineLevel="0" collapsed="false">
      <c r="A41" s="12" t="s">
        <v>143</v>
      </c>
      <c r="B41" s="28" t="s">
        <v>111</v>
      </c>
      <c r="C41" s="28" t="n">
        <v>-1</v>
      </c>
      <c r="D41" s="48" t="n">
        <f aca="false">IF($B41="IS",0,SUMIFS('Trial Balance'!$E$6:$E$255,'Trial Balance'!$C$6:$C$255,$A41))</f>
        <v>0</v>
      </c>
      <c r="E41" s="48" t="n">
        <f aca="false">SUMIFS('Trial Balance'!F$6:F$255,'Trial Balance'!$C$6:$C$255,$A41)</f>
        <v>0</v>
      </c>
      <c r="F41" s="48" t="n">
        <f aca="false">SUMIFS('Trial Balance'!G$6:G$255,'Trial Balance'!$C$6:$C$255,$A41)</f>
        <v>0</v>
      </c>
      <c r="G41" s="48" t="n">
        <f aca="false">SUMIFS('Trial Balance'!H$6:H$255,'Trial Balance'!$C$6:$C$255,$A41)</f>
        <v>0</v>
      </c>
      <c r="H41" s="48" t="n">
        <f aca="false">SUMIFS('Trial Balance'!I$6:I$255,'Trial Balance'!$C$6:$C$255,$A41)</f>
        <v>0</v>
      </c>
      <c r="I41" s="48" t="n">
        <f aca="false">SUMIFS('Trial Balance'!J$6:J$255,'Trial Balance'!$C$6:$C$255,$A41)</f>
        <v>0</v>
      </c>
      <c r="J41" s="48" t="n">
        <f aca="false">SUMIFS('Trial Balance'!K$6:K$255,'Trial Balance'!$C$6:$C$255,$A41)</f>
        <v>0</v>
      </c>
      <c r="K41" s="48" t="n">
        <f aca="false">SUMIFS('Trial Balance'!L$6:L$255,'Trial Balance'!$C$6:$C$255,$A41)</f>
        <v>0</v>
      </c>
      <c r="L41" s="48" t="n">
        <f aca="false">SUMIFS('Trial Balance'!M$6:M$255,'Trial Balance'!$C$6:$C$255,$A41)</f>
        <v>0</v>
      </c>
      <c r="M41" s="48" t="n">
        <f aca="false">SUMIFS('Trial Balance'!N$6:N$255,'Trial Balance'!$C$6:$C$255,$A41)</f>
        <v>0</v>
      </c>
      <c r="N41" s="48" t="n">
        <f aca="false">SUMIFS('Trial Balance'!O$6:O$255,'Trial Balance'!$C$6:$C$255,$A41)</f>
        <v>0</v>
      </c>
      <c r="O41" s="48" t="n">
        <f aca="false">SUMIFS('Trial Balance'!P$6:P$255,'Trial Balance'!$C$6:$C$255,$A41)</f>
        <v>0</v>
      </c>
      <c r="P41" s="48" t="n">
        <f aca="false">SUMIFS('Trial Balance'!Q$6:Q$255,'Trial Balance'!$C$6:$C$255,$A41)</f>
        <v>0</v>
      </c>
    </row>
    <row r="42" customFormat="false" ht="15" hidden="false" customHeight="false" outlineLevel="0" collapsed="false">
      <c r="A42" s="17" t="s">
        <v>458</v>
      </c>
      <c r="D42" s="48" t="n">
        <v>0</v>
      </c>
      <c r="E42" s="48" t="n">
        <f aca="false">-SUMIF($B$6:$B$41,"IS",E$6:E$41)</f>
        <v>5411</v>
      </c>
      <c r="F42" s="48" t="n">
        <f aca="false">-SUMIF($B$6:$B$41,"IS",F$6:F$41)</f>
        <v>15894</v>
      </c>
      <c r="G42" s="48" t="n">
        <f aca="false">-SUMIF($B$6:$B$41,"IS",G$6:G$41)</f>
        <v>49424</v>
      </c>
      <c r="H42" s="48" t="n">
        <f aca="false">-SUMIF($B$6:$B$41,"IS",H$6:H$41)</f>
        <v>82696</v>
      </c>
      <c r="I42" s="48" t="n">
        <f aca="false">-SUMIF($B$6:$B$41,"IS",I$6:I$41)</f>
        <v>111703</v>
      </c>
      <c r="J42" s="48" t="n">
        <f aca="false">-SUMIF($B$6:$B$41,"IS",J$6:J$41)</f>
        <v>143887</v>
      </c>
      <c r="K42" s="48" t="n">
        <f aca="false">-SUMIF($B$6:$B$41,"IS",K$6:K$41)</f>
        <v>189532</v>
      </c>
      <c r="L42" s="48" t="n">
        <f aca="false">-SUMIF($B$6:$B$41,"IS",L$6:L$41)</f>
        <v>247082</v>
      </c>
      <c r="M42" s="48" t="n">
        <f aca="false">-SUMIF($B$6:$B$41,"IS",M$6:M$41)</f>
        <v>308991</v>
      </c>
      <c r="N42" s="48" t="n">
        <f aca="false">-SUMIF($B$6:$B$41,"IS",N$6:N$41)</f>
        <v>-0</v>
      </c>
      <c r="O42" s="48" t="n">
        <f aca="false">-SUMIF($B$6:$B$41,"IS",O$6:O$41)</f>
        <v>-0</v>
      </c>
      <c r="P42" s="48" t="n">
        <f aca="false">-SUMIF($B$6:$B$41,"IS",P$6:P$41)</f>
        <v>-0</v>
      </c>
    </row>
    <row r="43" customFormat="false" ht="15" hidden="false" customHeight="false" outlineLevel="0" collapsed="false">
      <c r="A43" s="17" t="s">
        <v>459</v>
      </c>
      <c r="D43" s="48" t="n">
        <f aca="false">D29+D41</f>
        <v>1103000</v>
      </c>
      <c r="E43" s="48" t="n">
        <f aca="false">E29+E41</f>
        <v>1035301</v>
      </c>
      <c r="F43" s="48" t="n">
        <f aca="false">F29+F41</f>
        <v>695144</v>
      </c>
      <c r="G43" s="48" t="n">
        <f aca="false">G29+G41</f>
        <v>680621</v>
      </c>
      <c r="H43" s="48" t="n">
        <f aca="false">H29+H41</f>
        <v>522450</v>
      </c>
      <c r="I43" s="48" t="n">
        <f aca="false">I29+I41</f>
        <v>450384</v>
      </c>
      <c r="J43" s="48" t="n">
        <f aca="false">J29+J41</f>
        <v>402746</v>
      </c>
      <c r="K43" s="48" t="n">
        <f aca="false">K29+K41</f>
        <v>368435</v>
      </c>
      <c r="L43" s="48" t="n">
        <f aca="false">L29+L41</f>
        <v>460667</v>
      </c>
      <c r="M43" s="48" t="n">
        <f aca="false">M29+M41</f>
        <v>501580</v>
      </c>
      <c r="N43" s="48" t="n">
        <f aca="false">N29+N41</f>
        <v>0</v>
      </c>
      <c r="O43" s="48" t="n">
        <f aca="false">O29+O41</f>
        <v>0</v>
      </c>
      <c r="P43" s="48" t="n">
        <f aca="false">P29+P41</f>
        <v>0</v>
      </c>
    </row>
    <row r="44" customFormat="false" ht="15" hidden="false" customHeight="false" outlineLevel="0" collapsed="false">
      <c r="A44" s="17" t="s">
        <v>460</v>
      </c>
      <c r="E44" s="48" t="n">
        <f aca="false">E42-D42</f>
        <v>5411</v>
      </c>
      <c r="F44" s="48" t="n">
        <f aca="false">F42-E42</f>
        <v>10483</v>
      </c>
      <c r="G44" s="48" t="n">
        <f aca="false">G42-F42</f>
        <v>33530</v>
      </c>
      <c r="H44" s="48" t="n">
        <f aca="false">H42-G42</f>
        <v>33272</v>
      </c>
      <c r="I44" s="48" t="n">
        <f aca="false">I42-H42</f>
        <v>29007</v>
      </c>
      <c r="J44" s="48" t="n">
        <f aca="false">J42-I42</f>
        <v>32184</v>
      </c>
      <c r="K44" s="48" t="n">
        <f aca="false">K42-J42</f>
        <v>45645</v>
      </c>
      <c r="L44" s="48" t="n">
        <f aca="false">L42-K42</f>
        <v>57550</v>
      </c>
      <c r="M44" s="48" t="n">
        <f aca="false">M42-L42</f>
        <v>61909</v>
      </c>
      <c r="N44" s="48" t="n">
        <f aca="false">N42-M42</f>
        <v>-308991</v>
      </c>
      <c r="O44" s="48" t="n">
        <f aca="false">O42-N42</f>
        <v>0</v>
      </c>
      <c r="P44" s="48" t="n">
        <f aca="false">P42-O42</f>
        <v>0</v>
      </c>
    </row>
    <row r="47" customFormat="false" ht="15" hidden="false" customHeight="false" outlineLevel="0" collapsed="false">
      <c r="A47" s="21" t="s">
        <v>461</v>
      </c>
    </row>
    <row r="48" customFormat="false" ht="15" hidden="false" customHeight="false" outlineLevel="0" collapsed="false">
      <c r="A48" s="12" t="s">
        <v>154</v>
      </c>
      <c r="D48" s="48" t="n">
        <v>0</v>
      </c>
      <c r="E48" s="48" t="n">
        <f aca="false">$C6*E6</f>
        <v>710110</v>
      </c>
      <c r="F48" s="48" t="n">
        <f aca="false">$C6*F6</f>
        <v>1457659</v>
      </c>
      <c r="G48" s="48" t="n">
        <f aca="false">$C6*G6</f>
        <v>2253086</v>
      </c>
      <c r="H48" s="48" t="n">
        <f aca="false">$C6*H6</f>
        <v>3057459</v>
      </c>
      <c r="I48" s="48" t="n">
        <f aca="false">$C6*I6</f>
        <v>3898562</v>
      </c>
      <c r="J48" s="48" t="n">
        <f aca="false">$C6*J6</f>
        <v>4724581</v>
      </c>
      <c r="K48" s="48" t="n">
        <f aca="false">$C6*K6</f>
        <v>5605462</v>
      </c>
      <c r="L48" s="48" t="n">
        <f aca="false">$C6*L6</f>
        <v>6490973</v>
      </c>
      <c r="M48" s="48" t="n">
        <f aca="false">$C6*M6</f>
        <v>7405164</v>
      </c>
      <c r="N48" s="48" t="n">
        <f aca="false">$C6*N6</f>
        <v>-0</v>
      </c>
      <c r="O48" s="48" t="n">
        <f aca="false">$C6*O6</f>
        <v>-0</v>
      </c>
      <c r="P48" s="48" t="n">
        <f aca="false">$C6*P6</f>
        <v>-0</v>
      </c>
    </row>
    <row r="49" customFormat="false" ht="15" hidden="false" customHeight="false" outlineLevel="0" collapsed="false">
      <c r="A49" s="12" t="s">
        <v>161</v>
      </c>
      <c r="D49" s="48" t="n">
        <v>0</v>
      </c>
      <c r="E49" s="48" t="n">
        <f aca="false">$C7*E7</f>
        <v>388660</v>
      </c>
      <c r="F49" s="48" t="n">
        <f aca="false">$C7*F7</f>
        <v>796851</v>
      </c>
      <c r="G49" s="48" t="n">
        <f aca="false">$C7*G7</f>
        <v>1231664</v>
      </c>
      <c r="H49" s="48" t="n">
        <f aca="false">$C7*H7</f>
        <v>1668854</v>
      </c>
      <c r="I49" s="48" t="n">
        <f aca="false">$C7*I7</f>
        <v>2129074</v>
      </c>
      <c r="J49" s="48" t="n">
        <f aca="false">$C7*J7</f>
        <v>2577074</v>
      </c>
      <c r="K49" s="48" t="n">
        <f aca="false">$C7*K7</f>
        <v>3060265</v>
      </c>
      <c r="L49" s="48" t="n">
        <f aca="false">$C7*L7</f>
        <v>3541389</v>
      </c>
      <c r="M49" s="48" t="n">
        <f aca="false">$C7*M7</f>
        <v>4041692</v>
      </c>
      <c r="N49" s="48" t="n">
        <f aca="false">$C7*N7</f>
        <v>0</v>
      </c>
      <c r="O49" s="48" t="n">
        <f aca="false">$C7*O7</f>
        <v>0</v>
      </c>
      <c r="P49" s="48" t="n">
        <f aca="false">$C7*P7</f>
        <v>0</v>
      </c>
    </row>
    <row r="50" customFormat="false" ht="15" hidden="false" customHeight="false" outlineLevel="0" collapsed="false">
      <c r="A50" s="12" t="s">
        <v>157</v>
      </c>
      <c r="D50" s="48" t="n">
        <v>0</v>
      </c>
      <c r="E50" s="48" t="n">
        <f aca="false">$C8*E8</f>
        <v>3845</v>
      </c>
      <c r="F50" s="48" t="n">
        <f aca="false">$C8*F8</f>
        <v>7431</v>
      </c>
      <c r="G50" s="48" t="n">
        <f aca="false">$C8*G8</f>
        <v>11212</v>
      </c>
      <c r="H50" s="48" t="n">
        <f aca="false">$C8*H8</f>
        <v>14401</v>
      </c>
      <c r="I50" s="48" t="n">
        <f aca="false">$C8*I8</f>
        <v>19475</v>
      </c>
      <c r="J50" s="48" t="n">
        <f aca="false">$C8*J8</f>
        <v>23063</v>
      </c>
      <c r="K50" s="48" t="n">
        <f aca="false">$C8*K8</f>
        <v>26381</v>
      </c>
      <c r="L50" s="48" t="n">
        <f aca="false">$C8*L8</f>
        <v>30322</v>
      </c>
      <c r="M50" s="48" t="n">
        <f aca="false">$C8*M8</f>
        <v>35627</v>
      </c>
      <c r="N50" s="48" t="n">
        <f aca="false">$C8*N8</f>
        <v>-0</v>
      </c>
      <c r="O50" s="48" t="n">
        <f aca="false">$C8*O8</f>
        <v>-0</v>
      </c>
      <c r="P50" s="48" t="n">
        <f aca="false">$C8*P8</f>
        <v>-0</v>
      </c>
    </row>
    <row r="51" customFormat="false" ht="15" hidden="false" customHeight="false" outlineLevel="0" collapsed="false">
      <c r="A51" s="12" t="s">
        <v>165</v>
      </c>
      <c r="D51" s="48" t="n">
        <v>0</v>
      </c>
      <c r="E51" s="48" t="n">
        <f aca="false">$C9*E9</f>
        <v>130770</v>
      </c>
      <c r="F51" s="48" t="n">
        <f aca="false">$C9*F9</f>
        <v>265036</v>
      </c>
      <c r="G51" s="48" t="n">
        <f aca="false">$C9*G9</f>
        <v>399380</v>
      </c>
      <c r="H51" s="48" t="n">
        <f aca="false">$C9*H9</f>
        <v>536063</v>
      </c>
      <c r="I51" s="48" t="n">
        <f aca="false">$C9*I9</f>
        <v>671034</v>
      </c>
      <c r="J51" s="48" t="n">
        <f aca="false">$C9*J9</f>
        <v>807601</v>
      </c>
      <c r="K51" s="48" t="n">
        <f aca="false">$C9*K9</f>
        <v>942022</v>
      </c>
      <c r="L51" s="48" t="n">
        <f aca="false">$C9*L9</f>
        <v>1076637</v>
      </c>
      <c r="M51" s="48" t="n">
        <f aca="false">$C9*M9</f>
        <v>1216497</v>
      </c>
      <c r="N51" s="48" t="n">
        <f aca="false">$C9*N9</f>
        <v>0</v>
      </c>
      <c r="O51" s="48" t="n">
        <f aca="false">$C9*O9</f>
        <v>0</v>
      </c>
      <c r="P51" s="48" t="n">
        <f aca="false">$C9*P9</f>
        <v>0</v>
      </c>
    </row>
    <row r="52" customFormat="false" ht="15" hidden="false" customHeight="false" outlineLevel="0" collapsed="false">
      <c r="A52" s="12" t="s">
        <v>169</v>
      </c>
      <c r="D52" s="48" t="n">
        <v>0</v>
      </c>
      <c r="E52" s="48" t="n">
        <f aca="false">$C10*E10</f>
        <v>34000</v>
      </c>
      <c r="F52" s="48" t="n">
        <f aca="false">$C10*F10</f>
        <v>68000</v>
      </c>
      <c r="G52" s="48" t="n">
        <f aca="false">$C10*G10</f>
        <v>102000</v>
      </c>
      <c r="H52" s="48" t="n">
        <f aca="false">$C10*H10</f>
        <v>136000</v>
      </c>
      <c r="I52" s="48" t="n">
        <f aca="false">$C10*I10</f>
        <v>170000</v>
      </c>
      <c r="J52" s="48" t="n">
        <f aca="false">$C10*J10</f>
        <v>204000</v>
      </c>
      <c r="K52" s="48" t="n">
        <f aca="false">$C10*K10</f>
        <v>238000</v>
      </c>
      <c r="L52" s="48" t="n">
        <f aca="false">$C10*L10</f>
        <v>272000</v>
      </c>
      <c r="M52" s="48" t="n">
        <f aca="false">$C10*M10</f>
        <v>306000</v>
      </c>
      <c r="N52" s="48" t="n">
        <f aca="false">$C10*N10</f>
        <v>0</v>
      </c>
      <c r="O52" s="48" t="n">
        <f aca="false">$C10*O10</f>
        <v>0</v>
      </c>
      <c r="P52" s="48" t="n">
        <f aca="false">$C10*P10</f>
        <v>0</v>
      </c>
    </row>
    <row r="53" customFormat="false" ht="15" hidden="false" customHeight="false" outlineLevel="0" collapsed="false">
      <c r="A53" s="12" t="s">
        <v>172</v>
      </c>
      <c r="D53" s="48" t="n">
        <v>0</v>
      </c>
      <c r="E53" s="48" t="n">
        <f aca="false">$C11*E11</f>
        <v>29614</v>
      </c>
      <c r="F53" s="48" t="n">
        <f aca="false">$C11*F11</f>
        <v>63177</v>
      </c>
      <c r="G53" s="48" t="n">
        <f aca="false">$C11*G11</f>
        <v>90921</v>
      </c>
      <c r="H53" s="48" t="n">
        <f aca="false">$C11*H11</f>
        <v>123091</v>
      </c>
      <c r="I53" s="48" t="n">
        <f aca="false">$C11*I11</f>
        <v>156185</v>
      </c>
      <c r="J53" s="48" t="n">
        <f aca="false">$C11*J11</f>
        <v>189482</v>
      </c>
      <c r="K53" s="48" t="n">
        <f aca="false">$C11*K11</f>
        <v>224590</v>
      </c>
      <c r="L53" s="48" t="n">
        <f aca="false">$C11*L11</f>
        <v>251744</v>
      </c>
      <c r="M53" s="48" t="n">
        <f aca="false">$C11*M11</f>
        <v>284558</v>
      </c>
      <c r="N53" s="48" t="n">
        <f aca="false">$C11*N11</f>
        <v>0</v>
      </c>
      <c r="O53" s="48" t="n">
        <f aca="false">$C11*O11</f>
        <v>0</v>
      </c>
      <c r="P53" s="48" t="n">
        <f aca="false">$C11*P11</f>
        <v>0</v>
      </c>
    </row>
    <row r="54" customFormat="false" ht="15" hidden="false" customHeight="false" outlineLevel="0" collapsed="false">
      <c r="A54" s="12" t="s">
        <v>175</v>
      </c>
      <c r="D54" s="48" t="n">
        <v>0</v>
      </c>
      <c r="E54" s="48" t="n">
        <f aca="false">$C12*E12</f>
        <v>9000</v>
      </c>
      <c r="F54" s="48" t="n">
        <f aca="false">$C12*F12</f>
        <v>18000</v>
      </c>
      <c r="G54" s="48" t="n">
        <f aca="false">$C12*G12</f>
        <v>35000</v>
      </c>
      <c r="H54" s="48" t="n">
        <f aca="false">$C12*H12</f>
        <v>52000</v>
      </c>
      <c r="I54" s="48" t="n">
        <f aca="false">$C12*I12</f>
        <v>83000</v>
      </c>
      <c r="J54" s="48" t="n">
        <f aca="false">$C12*J12</f>
        <v>100000</v>
      </c>
      <c r="K54" s="48" t="n">
        <f aca="false">$C12*K12</f>
        <v>117000</v>
      </c>
      <c r="L54" s="48" t="n">
        <f aca="false">$C12*L12</f>
        <v>134000</v>
      </c>
      <c r="M54" s="48" t="n">
        <f aca="false">$C12*M12</f>
        <v>151000</v>
      </c>
      <c r="N54" s="48" t="n">
        <f aca="false">$C12*N12</f>
        <v>0</v>
      </c>
      <c r="O54" s="48" t="n">
        <f aca="false">$C12*O12</f>
        <v>0</v>
      </c>
      <c r="P54" s="48" t="n">
        <f aca="false">$C12*P12</f>
        <v>0</v>
      </c>
    </row>
    <row r="55" customFormat="false" ht="15" hidden="false" customHeight="false" outlineLevel="0" collapsed="false">
      <c r="A55" s="12" t="s">
        <v>179</v>
      </c>
      <c r="D55" s="48" t="n">
        <v>0</v>
      </c>
      <c r="E55" s="48" t="n">
        <f aca="false">$C13*E13</f>
        <v>29438</v>
      </c>
      <c r="F55" s="48" t="n">
        <f aca="false">$C13*F13</f>
        <v>62214</v>
      </c>
      <c r="G55" s="48" t="n">
        <f aca="false">$C13*G13</f>
        <v>87797</v>
      </c>
      <c r="H55" s="48" t="n">
        <f aca="false">$C13*H13</f>
        <v>109392</v>
      </c>
      <c r="I55" s="48" t="n">
        <f aca="false">$C13*I13</f>
        <v>138341</v>
      </c>
      <c r="J55" s="48" t="n">
        <f aca="false">$C13*J13</f>
        <v>168484</v>
      </c>
      <c r="K55" s="48" t="n">
        <f aca="false">$C13*K13</f>
        <v>198687</v>
      </c>
      <c r="L55" s="48" t="n">
        <f aca="false">$C13*L13</f>
        <v>226189</v>
      </c>
      <c r="M55" s="48" t="n">
        <f aca="false">$C13*M13</f>
        <v>251324</v>
      </c>
      <c r="N55" s="48" t="n">
        <f aca="false">$C13*N13</f>
        <v>0</v>
      </c>
      <c r="O55" s="48" t="n">
        <f aca="false">$C13*O13</f>
        <v>0</v>
      </c>
      <c r="P55" s="48" t="n">
        <f aca="false">$C13*P13</f>
        <v>0</v>
      </c>
    </row>
    <row r="56" customFormat="false" ht="15" hidden="false" customHeight="false" outlineLevel="0" collapsed="false">
      <c r="A56" s="12" t="s">
        <v>183</v>
      </c>
      <c r="D56" s="48" t="n">
        <v>0</v>
      </c>
      <c r="E56" s="48" t="n">
        <f aca="false">$C14*E14</f>
        <v>18277</v>
      </c>
      <c r="F56" s="48" t="n">
        <f aca="false">$C14*F14</f>
        <v>36643</v>
      </c>
      <c r="G56" s="48" t="n">
        <f aca="false">$C14*G14</f>
        <v>54746</v>
      </c>
      <c r="H56" s="48" t="n">
        <f aca="false">$C14*H14</f>
        <v>72205</v>
      </c>
      <c r="I56" s="48" t="n">
        <f aca="false">$C14*I14</f>
        <v>93460</v>
      </c>
      <c r="J56" s="48" t="n">
        <f aca="false">$C14*J14</f>
        <v>114100</v>
      </c>
      <c r="K56" s="48" t="n">
        <f aca="false">$C14*K14</f>
        <v>135801</v>
      </c>
      <c r="L56" s="48" t="n">
        <f aca="false">$C14*L14</f>
        <v>156423</v>
      </c>
      <c r="M56" s="48" t="n">
        <f aca="false">$C14*M14</f>
        <v>174973</v>
      </c>
      <c r="N56" s="48" t="n">
        <f aca="false">$C14*N14</f>
        <v>0</v>
      </c>
      <c r="O56" s="48" t="n">
        <f aca="false">$C14*O14</f>
        <v>0</v>
      </c>
      <c r="P56" s="48" t="n">
        <f aca="false">$C14*P14</f>
        <v>0</v>
      </c>
    </row>
    <row r="57" customFormat="false" ht="15" hidden="false" customHeight="false" outlineLevel="0" collapsed="false">
      <c r="A57" s="12" t="s">
        <v>185</v>
      </c>
      <c r="D57" s="48" t="n">
        <v>0</v>
      </c>
      <c r="E57" s="48" t="n">
        <f aca="false">$C15*E15</f>
        <v>12417</v>
      </c>
      <c r="F57" s="48" t="n">
        <f aca="false">$C15*F15</f>
        <v>27613</v>
      </c>
      <c r="G57" s="48" t="n">
        <f aca="false">$C15*G15</f>
        <v>36794</v>
      </c>
      <c r="H57" s="48" t="n">
        <f aca="false">$C15*H15</f>
        <v>48450</v>
      </c>
      <c r="I57" s="48" t="n">
        <f aca="false">$C15*I15</f>
        <v>55342</v>
      </c>
      <c r="J57" s="48" t="n">
        <f aca="false">$C15*J15</f>
        <v>64369</v>
      </c>
      <c r="K57" s="48" t="n">
        <f aca="false">$C15*K15</f>
        <v>77678</v>
      </c>
      <c r="L57" s="48" t="n">
        <f aca="false">$C15*L15</f>
        <v>88331</v>
      </c>
      <c r="M57" s="48" t="n">
        <f aca="false">$C15*M15</f>
        <v>102043</v>
      </c>
      <c r="N57" s="48" t="n">
        <f aca="false">$C15*N15</f>
        <v>0</v>
      </c>
      <c r="O57" s="48" t="n">
        <f aca="false">$C15*O15</f>
        <v>0</v>
      </c>
      <c r="P57" s="48" t="n">
        <f aca="false">$C15*P15</f>
        <v>0</v>
      </c>
    </row>
    <row r="58" customFormat="false" ht="15" hidden="false" customHeight="false" outlineLevel="0" collapsed="false">
      <c r="A58" s="12" t="s">
        <v>186</v>
      </c>
      <c r="D58" s="48" t="n">
        <v>0</v>
      </c>
      <c r="E58" s="48" t="n">
        <f aca="false">$C16*E16</f>
        <v>9000</v>
      </c>
      <c r="F58" s="48" t="n">
        <f aca="false">$C16*F16</f>
        <v>18000</v>
      </c>
      <c r="G58" s="48" t="n">
        <f aca="false">$C16*G16</f>
        <v>27000</v>
      </c>
      <c r="H58" s="48" t="n">
        <f aca="false">$C16*H16</f>
        <v>36000</v>
      </c>
      <c r="I58" s="48" t="n">
        <f aca="false">$C16*I16</f>
        <v>45000</v>
      </c>
      <c r="J58" s="48" t="n">
        <f aca="false">$C16*J16</f>
        <v>54000</v>
      </c>
      <c r="K58" s="48" t="n">
        <f aca="false">$C16*K16</f>
        <v>63000</v>
      </c>
      <c r="L58" s="48" t="n">
        <f aca="false">$C16*L16</f>
        <v>72000</v>
      </c>
      <c r="M58" s="48" t="n">
        <f aca="false">$C16*M16</f>
        <v>81000</v>
      </c>
      <c r="N58" s="48" t="n">
        <f aca="false">$C16*N16</f>
        <v>0</v>
      </c>
      <c r="O58" s="48" t="n">
        <f aca="false">$C16*O16</f>
        <v>0</v>
      </c>
      <c r="P58" s="48" t="n">
        <f aca="false">$C16*P16</f>
        <v>0</v>
      </c>
    </row>
    <row r="59" customFormat="false" ht="15" hidden="false" customHeight="false" outlineLevel="0" collapsed="false">
      <c r="A59" s="12" t="s">
        <v>187</v>
      </c>
      <c r="D59" s="48" t="n">
        <v>0</v>
      </c>
      <c r="E59" s="48" t="n">
        <f aca="false">$C17*E17</f>
        <v>4733</v>
      </c>
      <c r="F59" s="48" t="n">
        <f aca="false">$C17*F17</f>
        <v>9538</v>
      </c>
      <c r="G59" s="48" t="n">
        <f aca="false">$C17*G17</f>
        <v>14638</v>
      </c>
      <c r="H59" s="48" t="n">
        <f aca="false">$C17*H17</f>
        <v>19646</v>
      </c>
      <c r="I59" s="48" t="n">
        <f aca="false">$C17*I17</f>
        <v>24551</v>
      </c>
      <c r="J59" s="48" t="n">
        <f aca="false">$C17*J17</f>
        <v>29693</v>
      </c>
      <c r="K59" s="48" t="n">
        <f aca="false">$C17*K17</f>
        <v>34445</v>
      </c>
      <c r="L59" s="48" t="n">
        <f aca="false">$C17*L17</f>
        <v>39486</v>
      </c>
      <c r="M59" s="48" t="n">
        <f aca="false">$C17*M17</f>
        <v>44527</v>
      </c>
      <c r="N59" s="48" t="n">
        <f aca="false">$C17*N17</f>
        <v>0</v>
      </c>
      <c r="O59" s="48" t="n">
        <f aca="false">$C17*O17</f>
        <v>0</v>
      </c>
      <c r="P59" s="48" t="n">
        <f aca="false">$C17*P17</f>
        <v>0</v>
      </c>
    </row>
    <row r="60" customFormat="false" ht="15" hidden="false" customHeight="false" outlineLevel="0" collapsed="false">
      <c r="A60" s="12" t="s">
        <v>189</v>
      </c>
      <c r="D60" s="48" t="n">
        <v>0</v>
      </c>
      <c r="E60" s="48" t="n">
        <f aca="false">$C18*E18</f>
        <v>16583</v>
      </c>
      <c r="F60" s="48" t="n">
        <f aca="false">$C18*F18</f>
        <v>30446</v>
      </c>
      <c r="G60" s="48" t="n">
        <f aca="false">$C18*G18</f>
        <v>45407</v>
      </c>
      <c r="H60" s="48" t="n">
        <f aca="false">$C18*H18</f>
        <v>60132</v>
      </c>
      <c r="I60" s="48" t="n">
        <f aca="false">$C18*I18</f>
        <v>76440</v>
      </c>
      <c r="J60" s="48" t="n">
        <f aca="false">$C18*J18</f>
        <v>93598</v>
      </c>
      <c r="K60" s="48" t="n">
        <f aca="false">$C18*K18</f>
        <v>107339</v>
      </c>
      <c r="L60" s="48" t="n">
        <f aca="false">$C18*L18</f>
        <v>125551</v>
      </c>
      <c r="M60" s="48" t="n">
        <f aca="false">$C18*M18</f>
        <v>139432</v>
      </c>
      <c r="N60" s="48" t="n">
        <f aca="false">$C18*N18</f>
        <v>0</v>
      </c>
      <c r="O60" s="48" t="n">
        <f aca="false">$C18*O18</f>
        <v>0</v>
      </c>
      <c r="P60" s="48" t="n">
        <f aca="false">$C18*P18</f>
        <v>0</v>
      </c>
    </row>
    <row r="61" customFormat="false" ht="15" hidden="false" customHeight="false" outlineLevel="0" collapsed="false">
      <c r="A61" s="12" t="s">
        <v>194</v>
      </c>
      <c r="D61" s="48" t="n">
        <v>0</v>
      </c>
      <c r="E61" s="48" t="n">
        <f aca="false">$C19*E19</f>
        <v>16000</v>
      </c>
      <c r="F61" s="48" t="n">
        <f aca="false">$C19*F19</f>
        <v>32000</v>
      </c>
      <c r="G61" s="48" t="n">
        <f aca="false">$C19*G19</f>
        <v>48000</v>
      </c>
      <c r="H61" s="48" t="n">
        <f aca="false">$C19*H19</f>
        <v>64000</v>
      </c>
      <c r="I61" s="48" t="n">
        <f aca="false">$C19*I19</f>
        <v>83000</v>
      </c>
      <c r="J61" s="48" t="n">
        <f aca="false">$C19*J19</f>
        <v>102000</v>
      </c>
      <c r="K61" s="48" t="n">
        <f aca="false">$C19*K19</f>
        <v>121000</v>
      </c>
      <c r="L61" s="48" t="n">
        <f aca="false">$C19*L19</f>
        <v>140750</v>
      </c>
      <c r="M61" s="48" t="n">
        <f aca="false">$C19*M19</f>
        <v>160500</v>
      </c>
      <c r="N61" s="48" t="n">
        <f aca="false">$C19*N19</f>
        <v>0</v>
      </c>
      <c r="O61" s="48" t="n">
        <f aca="false">$C19*O19</f>
        <v>0</v>
      </c>
      <c r="P61" s="48" t="n">
        <f aca="false">$C19*P19</f>
        <v>0</v>
      </c>
    </row>
    <row r="62" customFormat="false" ht="15" hidden="false" customHeight="false" outlineLevel="0" collapsed="false">
      <c r="A62" s="12" t="s">
        <v>159</v>
      </c>
      <c r="D62" s="48" t="n">
        <v>0</v>
      </c>
      <c r="E62" s="48" t="n">
        <f aca="false">$C20*E20</f>
        <v>750</v>
      </c>
      <c r="F62" s="48" t="n">
        <f aca="false">$C20*F20</f>
        <v>1504</v>
      </c>
      <c r="G62" s="48" t="n">
        <f aca="false">$C20*G20</f>
        <v>2262</v>
      </c>
      <c r="H62" s="48" t="n">
        <f aca="false">$C20*H20</f>
        <v>3023</v>
      </c>
      <c r="I62" s="48" t="n">
        <f aca="false">$C20*I20</f>
        <v>3788</v>
      </c>
      <c r="J62" s="48" t="n">
        <f aca="false">$C20*J20</f>
        <v>4557</v>
      </c>
      <c r="K62" s="48" t="n">
        <f aca="false">$C20*K20</f>
        <v>5330</v>
      </c>
      <c r="L62" s="48" t="n">
        <f aca="false">$C20*L20</f>
        <v>6107</v>
      </c>
      <c r="M62" s="48" t="n">
        <f aca="false">$C20*M20</f>
        <v>6888</v>
      </c>
      <c r="N62" s="48" t="n">
        <f aca="false">$C20*N20</f>
        <v>-0</v>
      </c>
      <c r="O62" s="48" t="n">
        <f aca="false">$C20*O20</f>
        <v>-0</v>
      </c>
      <c r="P62" s="48" t="n">
        <f aca="false">$C20*P20</f>
        <v>-0</v>
      </c>
    </row>
    <row r="63" customFormat="false" ht="15" hidden="false" customHeight="false" outlineLevel="0" collapsed="false">
      <c r="A63" s="12" t="s">
        <v>197</v>
      </c>
      <c r="D63" s="48" t="n">
        <v>0</v>
      </c>
      <c r="E63" s="48" t="n">
        <f aca="false">$C21*E21</f>
        <v>8800</v>
      </c>
      <c r="F63" s="48" t="n">
        <f aca="false">$C21*F21</f>
        <v>17303</v>
      </c>
      <c r="G63" s="48" t="n">
        <f aca="false">$C21*G21</f>
        <v>25509</v>
      </c>
      <c r="H63" s="48" t="n">
        <f aca="false">$C21*H21</f>
        <v>35768</v>
      </c>
      <c r="I63" s="48" t="n">
        <f aca="false">$C21*I21</f>
        <v>43380</v>
      </c>
      <c r="J63" s="48" t="n">
        <f aca="false">$C21*J21</f>
        <v>50695</v>
      </c>
      <c r="K63" s="48" t="n">
        <f aca="false">$C21*K21</f>
        <v>57713</v>
      </c>
      <c r="L63" s="48" t="n">
        <f aca="false">$C21*L21</f>
        <v>64434</v>
      </c>
      <c r="M63" s="48" t="n">
        <f aca="false">$C21*M21</f>
        <v>70858</v>
      </c>
      <c r="N63" s="48" t="n">
        <f aca="false">$C21*N21</f>
        <v>0</v>
      </c>
      <c r="O63" s="48" t="n">
        <f aca="false">$C21*O21</f>
        <v>0</v>
      </c>
      <c r="P63" s="48" t="n">
        <f aca="false">$C21*P21</f>
        <v>0</v>
      </c>
    </row>
    <row r="64" customFormat="false" ht="15" hidden="false" customHeight="false" outlineLevel="0" collapsed="false">
      <c r="A64" s="12" t="s">
        <v>199</v>
      </c>
      <c r="D64" s="48" t="n">
        <v>0</v>
      </c>
      <c r="E64" s="48" t="n">
        <f aca="false">$C22*E22</f>
        <v>2002</v>
      </c>
      <c r="F64" s="48" t="n">
        <f aca="false">$C22*F22</f>
        <v>5879</v>
      </c>
      <c r="G64" s="48" t="n">
        <f aca="false">$C22*G22</f>
        <v>18280</v>
      </c>
      <c r="H64" s="48" t="n">
        <f aca="false">$C22*H22</f>
        <v>30586</v>
      </c>
      <c r="I64" s="48" t="n">
        <f aca="false">$C22*I22</f>
        <v>41315</v>
      </c>
      <c r="J64" s="48" t="n">
        <f aca="false">$C22*J22</f>
        <v>53218</v>
      </c>
      <c r="K64" s="48" t="n">
        <f aca="false">$C22*K22</f>
        <v>70101</v>
      </c>
      <c r="L64" s="48" t="n">
        <f aca="false">$C22*L22</f>
        <v>91386</v>
      </c>
      <c r="M64" s="48" t="n">
        <f aca="false">$C22*M22</f>
        <v>114284</v>
      </c>
      <c r="N64" s="48" t="n">
        <f aca="false">$C22*N22</f>
        <v>0</v>
      </c>
      <c r="O64" s="48" t="n">
        <f aca="false">$C22*O22</f>
        <v>0</v>
      </c>
      <c r="P64" s="48" t="n">
        <f aca="false">$C22*P22</f>
        <v>0</v>
      </c>
    </row>
    <row r="67" customFormat="false" ht="15" hidden="false" customHeight="false" outlineLevel="0" collapsed="false">
      <c r="A67" s="21" t="s">
        <v>462</v>
      </c>
    </row>
    <row r="68" customFormat="false" ht="15" hidden="false" customHeight="false" outlineLevel="0" collapsed="false">
      <c r="A68" s="12" t="s">
        <v>154</v>
      </c>
      <c r="E68" s="48" t="n">
        <f aca="false">E48-D48</f>
        <v>710110</v>
      </c>
      <c r="F68" s="48" t="n">
        <f aca="false">F48-E48</f>
        <v>747549</v>
      </c>
      <c r="G68" s="48" t="n">
        <f aca="false">G48-F48</f>
        <v>795427</v>
      </c>
      <c r="H68" s="48" t="n">
        <f aca="false">H48-G48</f>
        <v>804373</v>
      </c>
      <c r="I68" s="48" t="n">
        <f aca="false">I48-H48</f>
        <v>841103</v>
      </c>
      <c r="J68" s="48" t="n">
        <f aca="false">J48-I48</f>
        <v>826019</v>
      </c>
      <c r="K68" s="48" t="n">
        <f aca="false">K48-J48</f>
        <v>880881</v>
      </c>
      <c r="L68" s="48" t="n">
        <f aca="false">L48-K48</f>
        <v>885511</v>
      </c>
      <c r="M68" s="48" t="n">
        <f aca="false">M48-L48</f>
        <v>914191</v>
      </c>
      <c r="N68" s="48" t="n">
        <f aca="false">N48-M48</f>
        <v>-7405164</v>
      </c>
      <c r="O68" s="48" t="n">
        <f aca="false">O48-N48</f>
        <v>0</v>
      </c>
      <c r="P68" s="48" t="n">
        <f aca="false">P48-O48</f>
        <v>0</v>
      </c>
    </row>
    <row r="69" customFormat="false" ht="15" hidden="false" customHeight="false" outlineLevel="0" collapsed="false">
      <c r="A69" s="12" t="s">
        <v>161</v>
      </c>
      <c r="E69" s="48" t="n">
        <f aca="false">E49-D49</f>
        <v>388660</v>
      </c>
      <c r="F69" s="48" t="n">
        <f aca="false">F49-E49</f>
        <v>408191</v>
      </c>
      <c r="G69" s="48" t="n">
        <f aca="false">G49-F49</f>
        <v>434813</v>
      </c>
      <c r="H69" s="48" t="n">
        <f aca="false">H49-G49</f>
        <v>437190</v>
      </c>
      <c r="I69" s="48" t="n">
        <f aca="false">I49-H49</f>
        <v>460220</v>
      </c>
      <c r="J69" s="48" t="n">
        <f aca="false">J49-I49</f>
        <v>448000</v>
      </c>
      <c r="K69" s="48" t="n">
        <f aca="false">K49-J49</f>
        <v>483191</v>
      </c>
      <c r="L69" s="48" t="n">
        <f aca="false">L49-K49</f>
        <v>481124</v>
      </c>
      <c r="M69" s="48" t="n">
        <f aca="false">M49-L49</f>
        <v>500303</v>
      </c>
      <c r="N69" s="48" t="n">
        <f aca="false">N49-M49</f>
        <v>-4041692</v>
      </c>
      <c r="O69" s="48" t="n">
        <f aca="false">O49-N49</f>
        <v>0</v>
      </c>
      <c r="P69" s="48" t="n">
        <f aca="false">P49-O49</f>
        <v>0</v>
      </c>
    </row>
    <row r="70" customFormat="false" ht="15" hidden="false" customHeight="false" outlineLevel="0" collapsed="false">
      <c r="A70" s="12" t="s">
        <v>157</v>
      </c>
      <c r="E70" s="48" t="n">
        <f aca="false">E50-D50</f>
        <v>3845</v>
      </c>
      <c r="F70" s="48" t="n">
        <f aca="false">F50-E50</f>
        <v>3586</v>
      </c>
      <c r="G70" s="48" t="n">
        <f aca="false">G50-F50</f>
        <v>3781</v>
      </c>
      <c r="H70" s="48" t="n">
        <f aca="false">H50-G50</f>
        <v>3189</v>
      </c>
      <c r="I70" s="48" t="n">
        <f aca="false">I50-H50</f>
        <v>5074</v>
      </c>
      <c r="J70" s="48" t="n">
        <f aca="false">J50-I50</f>
        <v>3588</v>
      </c>
      <c r="K70" s="48" t="n">
        <f aca="false">K50-J50</f>
        <v>3318</v>
      </c>
      <c r="L70" s="48" t="n">
        <f aca="false">L50-K50</f>
        <v>3941</v>
      </c>
      <c r="M70" s="48" t="n">
        <f aca="false">M50-L50</f>
        <v>5305</v>
      </c>
      <c r="N70" s="48" t="n">
        <f aca="false">N50-M50</f>
        <v>-35627</v>
      </c>
      <c r="O70" s="48" t="n">
        <f aca="false">O50-N50</f>
        <v>0</v>
      </c>
      <c r="P70" s="48" t="n">
        <f aca="false">P50-O50</f>
        <v>0</v>
      </c>
    </row>
    <row r="71" customFormat="false" ht="15" hidden="false" customHeight="false" outlineLevel="0" collapsed="false">
      <c r="A71" s="12" t="s">
        <v>165</v>
      </c>
      <c r="E71" s="48" t="n">
        <f aca="false">E51-D51</f>
        <v>130770</v>
      </c>
      <c r="F71" s="48" t="n">
        <f aca="false">F51-E51</f>
        <v>134266</v>
      </c>
      <c r="G71" s="48" t="n">
        <f aca="false">G51-F51</f>
        <v>134344</v>
      </c>
      <c r="H71" s="48" t="n">
        <f aca="false">H51-G51</f>
        <v>136683</v>
      </c>
      <c r="I71" s="48" t="n">
        <f aca="false">I51-H51</f>
        <v>134971</v>
      </c>
      <c r="J71" s="48" t="n">
        <f aca="false">J51-I51</f>
        <v>136567</v>
      </c>
      <c r="K71" s="48" t="n">
        <f aca="false">K51-J51</f>
        <v>134421</v>
      </c>
      <c r="L71" s="48" t="n">
        <f aca="false">L51-K51</f>
        <v>134615</v>
      </c>
      <c r="M71" s="48" t="n">
        <f aca="false">M51-L51</f>
        <v>139860</v>
      </c>
      <c r="N71" s="48" t="n">
        <f aca="false">N51-M51</f>
        <v>-1216497</v>
      </c>
      <c r="O71" s="48" t="n">
        <f aca="false">O51-N51</f>
        <v>0</v>
      </c>
      <c r="P71" s="48" t="n">
        <f aca="false">P51-O51</f>
        <v>0</v>
      </c>
    </row>
    <row r="72" customFormat="false" ht="15" hidden="false" customHeight="false" outlineLevel="0" collapsed="false">
      <c r="A72" s="12" t="s">
        <v>169</v>
      </c>
      <c r="E72" s="48" t="n">
        <f aca="false">E52-D52</f>
        <v>34000</v>
      </c>
      <c r="F72" s="48" t="n">
        <f aca="false">F52-E52</f>
        <v>34000</v>
      </c>
      <c r="G72" s="48" t="n">
        <f aca="false">G52-F52</f>
        <v>34000</v>
      </c>
      <c r="H72" s="48" t="n">
        <f aca="false">H52-G52</f>
        <v>34000</v>
      </c>
      <c r="I72" s="48" t="n">
        <f aca="false">I52-H52</f>
        <v>34000</v>
      </c>
      <c r="J72" s="48" t="n">
        <f aca="false">J52-I52</f>
        <v>34000</v>
      </c>
      <c r="K72" s="48" t="n">
        <f aca="false">K52-J52</f>
        <v>34000</v>
      </c>
      <c r="L72" s="48" t="n">
        <f aca="false">L52-K52</f>
        <v>34000</v>
      </c>
      <c r="M72" s="48" t="n">
        <f aca="false">M52-L52</f>
        <v>34000</v>
      </c>
      <c r="N72" s="48" t="n">
        <f aca="false">N52-M52</f>
        <v>-306000</v>
      </c>
      <c r="O72" s="48" t="n">
        <f aca="false">O52-N52</f>
        <v>0</v>
      </c>
      <c r="P72" s="48" t="n">
        <f aca="false">P52-O52</f>
        <v>0</v>
      </c>
    </row>
    <row r="73" customFormat="false" ht="15" hidden="false" customHeight="false" outlineLevel="0" collapsed="false">
      <c r="A73" s="12" t="s">
        <v>172</v>
      </c>
      <c r="E73" s="48" t="n">
        <f aca="false">E53-D53</f>
        <v>29614</v>
      </c>
      <c r="F73" s="48" t="n">
        <f aca="false">F53-E53</f>
        <v>33563</v>
      </c>
      <c r="G73" s="48" t="n">
        <f aca="false">G53-F53</f>
        <v>27744</v>
      </c>
      <c r="H73" s="48" t="n">
        <f aca="false">H53-G53</f>
        <v>32170</v>
      </c>
      <c r="I73" s="48" t="n">
        <f aca="false">I53-H53</f>
        <v>33094</v>
      </c>
      <c r="J73" s="48" t="n">
        <f aca="false">J53-I53</f>
        <v>33297</v>
      </c>
      <c r="K73" s="48" t="n">
        <f aca="false">K53-J53</f>
        <v>35108</v>
      </c>
      <c r="L73" s="48" t="n">
        <f aca="false">L53-K53</f>
        <v>27154</v>
      </c>
      <c r="M73" s="48" t="n">
        <f aca="false">M53-L53</f>
        <v>32814</v>
      </c>
      <c r="N73" s="48" t="n">
        <f aca="false">N53-M53</f>
        <v>-284558</v>
      </c>
      <c r="O73" s="48" t="n">
        <f aca="false">O53-N53</f>
        <v>0</v>
      </c>
      <c r="P73" s="48" t="n">
        <f aca="false">P53-O53</f>
        <v>0</v>
      </c>
    </row>
    <row r="74" customFormat="false" ht="15" hidden="false" customHeight="false" outlineLevel="0" collapsed="false">
      <c r="A74" s="12" t="s">
        <v>175</v>
      </c>
      <c r="E74" s="48" t="n">
        <f aca="false">E54-D54</f>
        <v>9000</v>
      </c>
      <c r="F74" s="48" t="n">
        <f aca="false">F54-E54</f>
        <v>9000</v>
      </c>
      <c r="G74" s="48" t="n">
        <f aca="false">G54-F54</f>
        <v>17000</v>
      </c>
      <c r="H74" s="48" t="n">
        <f aca="false">H54-G54</f>
        <v>17000</v>
      </c>
      <c r="I74" s="48" t="n">
        <f aca="false">I54-H54</f>
        <v>31000</v>
      </c>
      <c r="J74" s="48" t="n">
        <f aca="false">J54-I54</f>
        <v>17000</v>
      </c>
      <c r="K74" s="48" t="n">
        <f aca="false">K54-J54</f>
        <v>17000</v>
      </c>
      <c r="L74" s="48" t="n">
        <f aca="false">L54-K54</f>
        <v>17000</v>
      </c>
      <c r="M74" s="48" t="n">
        <f aca="false">M54-L54</f>
        <v>17000</v>
      </c>
      <c r="N74" s="48" t="n">
        <f aca="false">N54-M54</f>
        <v>-151000</v>
      </c>
      <c r="O74" s="48" t="n">
        <f aca="false">O54-N54</f>
        <v>0</v>
      </c>
      <c r="P74" s="48" t="n">
        <f aca="false">P54-O54</f>
        <v>0</v>
      </c>
    </row>
    <row r="75" customFormat="false" ht="15" hidden="false" customHeight="false" outlineLevel="0" collapsed="false">
      <c r="A75" s="12" t="s">
        <v>179</v>
      </c>
      <c r="E75" s="48" t="n">
        <f aca="false">E55-D55</f>
        <v>29438</v>
      </c>
      <c r="F75" s="48" t="n">
        <f aca="false">F55-E55</f>
        <v>32776</v>
      </c>
      <c r="G75" s="48" t="n">
        <f aca="false">G55-F55</f>
        <v>25583</v>
      </c>
      <c r="H75" s="48" t="n">
        <f aca="false">H55-G55</f>
        <v>21595</v>
      </c>
      <c r="I75" s="48" t="n">
        <f aca="false">I55-H55</f>
        <v>28949</v>
      </c>
      <c r="J75" s="48" t="n">
        <f aca="false">J55-I55</f>
        <v>30143</v>
      </c>
      <c r="K75" s="48" t="n">
        <f aca="false">K55-J55</f>
        <v>30203</v>
      </c>
      <c r="L75" s="48" t="n">
        <f aca="false">L55-K55</f>
        <v>27502</v>
      </c>
      <c r="M75" s="48" t="n">
        <f aca="false">M55-L55</f>
        <v>25135</v>
      </c>
      <c r="N75" s="48" t="n">
        <f aca="false">N55-M55</f>
        <v>-251324</v>
      </c>
      <c r="O75" s="48" t="n">
        <f aca="false">O55-N55</f>
        <v>0</v>
      </c>
      <c r="P75" s="48" t="n">
        <f aca="false">P55-O55</f>
        <v>0</v>
      </c>
    </row>
    <row r="76" customFormat="false" ht="15" hidden="false" customHeight="false" outlineLevel="0" collapsed="false">
      <c r="A76" s="12" t="s">
        <v>183</v>
      </c>
      <c r="E76" s="48" t="n">
        <f aca="false">E56-D56</f>
        <v>18277</v>
      </c>
      <c r="F76" s="48" t="n">
        <f aca="false">F56-E56</f>
        <v>18366</v>
      </c>
      <c r="G76" s="48" t="n">
        <f aca="false">G56-F56</f>
        <v>18103</v>
      </c>
      <c r="H76" s="48" t="n">
        <f aca="false">H56-G56</f>
        <v>17459</v>
      </c>
      <c r="I76" s="48" t="n">
        <f aca="false">I56-H56</f>
        <v>21255</v>
      </c>
      <c r="J76" s="48" t="n">
        <f aca="false">J56-I56</f>
        <v>20640</v>
      </c>
      <c r="K76" s="48" t="n">
        <f aca="false">K56-J56</f>
        <v>21701</v>
      </c>
      <c r="L76" s="48" t="n">
        <f aca="false">L56-K56</f>
        <v>20622</v>
      </c>
      <c r="M76" s="48" t="n">
        <f aca="false">M56-L56</f>
        <v>18550</v>
      </c>
      <c r="N76" s="48" t="n">
        <f aca="false">N56-M56</f>
        <v>-174973</v>
      </c>
      <c r="O76" s="48" t="n">
        <f aca="false">O56-N56</f>
        <v>0</v>
      </c>
      <c r="P76" s="48" t="n">
        <f aca="false">P56-O56</f>
        <v>0</v>
      </c>
    </row>
    <row r="77" customFormat="false" ht="15" hidden="false" customHeight="false" outlineLevel="0" collapsed="false">
      <c r="A77" s="12" t="s">
        <v>185</v>
      </c>
      <c r="E77" s="48" t="n">
        <f aca="false">E57-D57</f>
        <v>12417</v>
      </c>
      <c r="F77" s="48" t="n">
        <f aca="false">F57-E57</f>
        <v>15196</v>
      </c>
      <c r="G77" s="48" t="n">
        <f aca="false">G57-F57</f>
        <v>9181</v>
      </c>
      <c r="H77" s="48" t="n">
        <f aca="false">H57-G57</f>
        <v>11656</v>
      </c>
      <c r="I77" s="48" t="n">
        <f aca="false">I57-H57</f>
        <v>6892</v>
      </c>
      <c r="J77" s="48" t="n">
        <f aca="false">J57-I57</f>
        <v>9027</v>
      </c>
      <c r="K77" s="48" t="n">
        <f aca="false">K57-J57</f>
        <v>13309</v>
      </c>
      <c r="L77" s="48" t="n">
        <f aca="false">L57-K57</f>
        <v>10653</v>
      </c>
      <c r="M77" s="48" t="n">
        <f aca="false">M57-L57</f>
        <v>13712</v>
      </c>
      <c r="N77" s="48" t="n">
        <f aca="false">N57-M57</f>
        <v>-102043</v>
      </c>
      <c r="O77" s="48" t="n">
        <f aca="false">O57-N57</f>
        <v>0</v>
      </c>
      <c r="P77" s="48" t="n">
        <f aca="false">P57-O57</f>
        <v>0</v>
      </c>
    </row>
    <row r="78" customFormat="false" ht="15" hidden="false" customHeight="false" outlineLevel="0" collapsed="false">
      <c r="A78" s="12" t="s">
        <v>186</v>
      </c>
      <c r="E78" s="48" t="n">
        <f aca="false">E58-D58</f>
        <v>9000</v>
      </c>
      <c r="F78" s="48" t="n">
        <f aca="false">F58-E58</f>
        <v>9000</v>
      </c>
      <c r="G78" s="48" t="n">
        <f aca="false">G58-F58</f>
        <v>9000</v>
      </c>
      <c r="H78" s="48" t="n">
        <f aca="false">H58-G58</f>
        <v>9000</v>
      </c>
      <c r="I78" s="48" t="n">
        <f aca="false">I58-H58</f>
        <v>9000</v>
      </c>
      <c r="J78" s="48" t="n">
        <f aca="false">J58-I58</f>
        <v>9000</v>
      </c>
      <c r="K78" s="48" t="n">
        <f aca="false">K58-J58</f>
        <v>9000</v>
      </c>
      <c r="L78" s="48" t="n">
        <f aca="false">L58-K58</f>
        <v>9000</v>
      </c>
      <c r="M78" s="48" t="n">
        <f aca="false">M58-L58</f>
        <v>9000</v>
      </c>
      <c r="N78" s="48" t="n">
        <f aca="false">N58-M58</f>
        <v>-81000</v>
      </c>
      <c r="O78" s="48" t="n">
        <f aca="false">O58-N58</f>
        <v>0</v>
      </c>
      <c r="P78" s="48" t="n">
        <f aca="false">P58-O58</f>
        <v>0</v>
      </c>
    </row>
    <row r="79" customFormat="false" ht="15" hidden="false" customHeight="false" outlineLevel="0" collapsed="false">
      <c r="A79" s="12" t="s">
        <v>187</v>
      </c>
      <c r="E79" s="48" t="n">
        <f aca="false">E59-D59</f>
        <v>4733</v>
      </c>
      <c r="F79" s="48" t="n">
        <f aca="false">F59-E59</f>
        <v>4805</v>
      </c>
      <c r="G79" s="48" t="n">
        <f aca="false">G59-F59</f>
        <v>5100</v>
      </c>
      <c r="H79" s="48" t="n">
        <f aca="false">H59-G59</f>
        <v>5008</v>
      </c>
      <c r="I79" s="48" t="n">
        <f aca="false">I59-H59</f>
        <v>4905</v>
      </c>
      <c r="J79" s="48" t="n">
        <f aca="false">J59-I59</f>
        <v>5142</v>
      </c>
      <c r="K79" s="48" t="n">
        <f aca="false">K59-J59</f>
        <v>4752</v>
      </c>
      <c r="L79" s="48" t="n">
        <f aca="false">L59-K59</f>
        <v>5041</v>
      </c>
      <c r="M79" s="48" t="n">
        <f aca="false">M59-L59</f>
        <v>5041</v>
      </c>
      <c r="N79" s="48" t="n">
        <f aca="false">N59-M59</f>
        <v>-44527</v>
      </c>
      <c r="O79" s="48" t="n">
        <f aca="false">O59-N59</f>
        <v>0</v>
      </c>
      <c r="P79" s="48" t="n">
        <f aca="false">P59-O59</f>
        <v>0</v>
      </c>
    </row>
    <row r="80" customFormat="false" ht="15" hidden="false" customHeight="false" outlineLevel="0" collapsed="false">
      <c r="A80" s="12" t="s">
        <v>189</v>
      </c>
      <c r="E80" s="48" t="n">
        <f aca="false">E60-D60</f>
        <v>16583</v>
      </c>
      <c r="F80" s="48" t="n">
        <f aca="false">F60-E60</f>
        <v>13863</v>
      </c>
      <c r="G80" s="48" t="n">
        <f aca="false">G60-F60</f>
        <v>14961</v>
      </c>
      <c r="H80" s="48" t="n">
        <f aca="false">H60-G60</f>
        <v>14725</v>
      </c>
      <c r="I80" s="48" t="n">
        <f aca="false">I60-H60</f>
        <v>16308</v>
      </c>
      <c r="J80" s="48" t="n">
        <f aca="false">J60-I60</f>
        <v>17158</v>
      </c>
      <c r="K80" s="48" t="n">
        <f aca="false">K60-J60</f>
        <v>13741</v>
      </c>
      <c r="L80" s="48" t="n">
        <f aca="false">L60-K60</f>
        <v>18212</v>
      </c>
      <c r="M80" s="48" t="n">
        <f aca="false">M60-L60</f>
        <v>13881</v>
      </c>
      <c r="N80" s="48" t="n">
        <f aca="false">N60-M60</f>
        <v>-139432</v>
      </c>
      <c r="O80" s="48" t="n">
        <f aca="false">O60-N60</f>
        <v>0</v>
      </c>
      <c r="P80" s="48" t="n">
        <f aca="false">P60-O60</f>
        <v>0</v>
      </c>
    </row>
    <row r="81" customFormat="false" ht="15" hidden="false" customHeight="false" outlineLevel="0" collapsed="false">
      <c r="A81" s="12" t="s">
        <v>194</v>
      </c>
      <c r="E81" s="48" t="n">
        <f aca="false">E61-D61</f>
        <v>16000</v>
      </c>
      <c r="F81" s="48" t="n">
        <f aca="false">F61-E61</f>
        <v>16000</v>
      </c>
      <c r="G81" s="48" t="n">
        <f aca="false">G61-F61</f>
        <v>16000</v>
      </c>
      <c r="H81" s="48" t="n">
        <f aca="false">H61-G61</f>
        <v>16000</v>
      </c>
      <c r="I81" s="48" t="n">
        <f aca="false">I61-H61</f>
        <v>19000</v>
      </c>
      <c r="J81" s="48" t="n">
        <f aca="false">J61-I61</f>
        <v>19000</v>
      </c>
      <c r="K81" s="48" t="n">
        <f aca="false">K61-J61</f>
        <v>19000</v>
      </c>
      <c r="L81" s="48" t="n">
        <f aca="false">L61-K61</f>
        <v>19750</v>
      </c>
      <c r="M81" s="48" t="n">
        <f aca="false">M61-L61</f>
        <v>19750</v>
      </c>
      <c r="N81" s="48" t="n">
        <f aca="false">N61-M61</f>
        <v>-160500</v>
      </c>
      <c r="O81" s="48" t="n">
        <f aca="false">O61-N61</f>
        <v>0</v>
      </c>
      <c r="P81" s="48" t="n">
        <f aca="false">P61-O61</f>
        <v>0</v>
      </c>
    </row>
    <row r="82" customFormat="false" ht="15" hidden="false" customHeight="false" outlineLevel="0" collapsed="false">
      <c r="A82" s="12" t="s">
        <v>159</v>
      </c>
      <c r="E82" s="48" t="n">
        <f aca="false">E62-D62</f>
        <v>750</v>
      </c>
      <c r="F82" s="48" t="n">
        <f aca="false">F62-E62</f>
        <v>754</v>
      </c>
      <c r="G82" s="48" t="n">
        <f aca="false">G62-F62</f>
        <v>758</v>
      </c>
      <c r="H82" s="48" t="n">
        <f aca="false">H62-G62</f>
        <v>761</v>
      </c>
      <c r="I82" s="48" t="n">
        <f aca="false">I62-H62</f>
        <v>765</v>
      </c>
      <c r="J82" s="48" t="n">
        <f aca="false">J62-I62</f>
        <v>769</v>
      </c>
      <c r="K82" s="48" t="n">
        <f aca="false">K62-J62</f>
        <v>773</v>
      </c>
      <c r="L82" s="48" t="n">
        <f aca="false">L62-K62</f>
        <v>777</v>
      </c>
      <c r="M82" s="48" t="n">
        <f aca="false">M62-L62</f>
        <v>781</v>
      </c>
      <c r="N82" s="48" t="n">
        <f aca="false">N62-M62</f>
        <v>-6888</v>
      </c>
      <c r="O82" s="48" t="n">
        <f aca="false">O62-N62</f>
        <v>0</v>
      </c>
      <c r="P82" s="48" t="n">
        <f aca="false">P62-O62</f>
        <v>0</v>
      </c>
    </row>
    <row r="83" customFormat="false" ht="15" hidden="false" customHeight="false" outlineLevel="0" collapsed="false">
      <c r="A83" s="12" t="s">
        <v>197</v>
      </c>
      <c r="E83" s="48" t="n">
        <f aca="false">E63-D63</f>
        <v>8800</v>
      </c>
      <c r="F83" s="48" t="n">
        <f aca="false">F63-E63</f>
        <v>8503</v>
      </c>
      <c r="G83" s="48" t="n">
        <f aca="false">G63-F63</f>
        <v>8206</v>
      </c>
      <c r="H83" s="48" t="n">
        <f aca="false">H63-G63</f>
        <v>10259</v>
      </c>
      <c r="I83" s="48" t="n">
        <f aca="false">I63-H63</f>
        <v>7612</v>
      </c>
      <c r="J83" s="48" t="n">
        <f aca="false">J63-I63</f>
        <v>7315</v>
      </c>
      <c r="K83" s="48" t="n">
        <f aca="false">K63-J63</f>
        <v>7018</v>
      </c>
      <c r="L83" s="48" t="n">
        <f aca="false">L63-K63</f>
        <v>6721</v>
      </c>
      <c r="M83" s="48" t="n">
        <f aca="false">M63-L63</f>
        <v>6424</v>
      </c>
      <c r="N83" s="48" t="n">
        <f aca="false">N63-M63</f>
        <v>-70858</v>
      </c>
      <c r="O83" s="48" t="n">
        <f aca="false">O63-N63</f>
        <v>0</v>
      </c>
      <c r="P83" s="48" t="n">
        <f aca="false">P63-O63</f>
        <v>0</v>
      </c>
    </row>
    <row r="84" customFormat="false" ht="15" hidden="false" customHeight="false" outlineLevel="0" collapsed="false">
      <c r="A84" s="12" t="s">
        <v>199</v>
      </c>
      <c r="E84" s="48" t="n">
        <f aca="false">E64-D64</f>
        <v>2002</v>
      </c>
      <c r="F84" s="48" t="n">
        <f aca="false">F64-E64</f>
        <v>3877</v>
      </c>
      <c r="G84" s="48" t="n">
        <f aca="false">G64-F64</f>
        <v>12401</v>
      </c>
      <c r="H84" s="48" t="n">
        <f aca="false">H64-G64</f>
        <v>12306</v>
      </c>
      <c r="I84" s="48" t="n">
        <f aca="false">I64-H64</f>
        <v>10729</v>
      </c>
      <c r="J84" s="48" t="n">
        <f aca="false">J64-I64</f>
        <v>11903</v>
      </c>
      <c r="K84" s="48" t="n">
        <f aca="false">K64-J64</f>
        <v>16883</v>
      </c>
      <c r="L84" s="48" t="n">
        <f aca="false">L64-K64</f>
        <v>21285</v>
      </c>
      <c r="M84" s="48" t="n">
        <f aca="false">M64-L64</f>
        <v>22898</v>
      </c>
      <c r="N84" s="48" t="n">
        <f aca="false">N64-M64</f>
        <v>-114284</v>
      </c>
      <c r="O84" s="48" t="n">
        <f aca="false">O64-N64</f>
        <v>0</v>
      </c>
      <c r="P84" s="48" t="n">
        <f aca="false">P64-O64</f>
        <v>0</v>
      </c>
    </row>
    <row r="87" customFormat="false" ht="15" hidden="false" customHeight="false" outlineLevel="0" collapsed="false">
      <c r="A87" s="21" t="s">
        <v>463</v>
      </c>
    </row>
    <row r="88" customFormat="false" ht="15" hidden="false" customHeight="false" outlineLevel="0" collapsed="false">
      <c r="A88" s="12" t="s">
        <v>154</v>
      </c>
      <c r="E88" s="48" t="n">
        <f aca="false">Budget!B6</f>
        <v>758500</v>
      </c>
      <c r="F88" s="48" t="n">
        <f aca="false">Budget!C6</f>
        <v>766100</v>
      </c>
      <c r="G88" s="48" t="n">
        <f aca="false">Budget!D6</f>
        <v>814500</v>
      </c>
      <c r="H88" s="48" t="n">
        <f aca="false">Budget!E6</f>
        <v>822600</v>
      </c>
      <c r="I88" s="48" t="n">
        <f aca="false">Budget!F6</f>
        <v>847400</v>
      </c>
      <c r="J88" s="48" t="n">
        <f aca="false">Budget!G6</f>
        <v>839100</v>
      </c>
      <c r="K88" s="48" t="n">
        <f aca="false">Budget!H6</f>
        <v>864500</v>
      </c>
      <c r="L88" s="48" t="n">
        <f aca="false">Budget!I6</f>
        <v>890200</v>
      </c>
      <c r="M88" s="48" t="n">
        <f aca="false">Budget!J6</f>
        <v>916400</v>
      </c>
      <c r="N88" s="48" t="n">
        <f aca="false">Budget!K6</f>
        <v>943100</v>
      </c>
      <c r="O88" s="48" t="n">
        <f aca="false">Budget!L6</f>
        <v>970100</v>
      </c>
      <c r="P88" s="48" t="n">
        <f aca="false">Budget!M6</f>
        <v>935300</v>
      </c>
    </row>
    <row r="89" customFormat="false" ht="15" hidden="false" customHeight="false" outlineLevel="0" collapsed="false">
      <c r="A89" s="12" t="s">
        <v>161</v>
      </c>
      <c r="E89" s="48" t="n">
        <f aca="false">Budget!B7</f>
        <v>413700</v>
      </c>
      <c r="F89" s="48" t="n">
        <f aca="false">Budget!C7</f>
        <v>417800</v>
      </c>
      <c r="G89" s="48" t="n">
        <f aca="false">Budget!D7</f>
        <v>444200</v>
      </c>
      <c r="H89" s="48" t="n">
        <f aca="false">Budget!E7</f>
        <v>448700</v>
      </c>
      <c r="I89" s="48" t="n">
        <f aca="false">Budget!F7</f>
        <v>462200</v>
      </c>
      <c r="J89" s="48" t="n">
        <f aca="false">Budget!G7</f>
        <v>457700</v>
      </c>
      <c r="K89" s="48" t="n">
        <f aca="false">Budget!H7</f>
        <v>471500</v>
      </c>
      <c r="L89" s="48" t="n">
        <f aca="false">Budget!I7</f>
        <v>485600</v>
      </c>
      <c r="M89" s="48" t="n">
        <f aca="false">Budget!J7</f>
        <v>499800</v>
      </c>
      <c r="N89" s="48" t="n">
        <f aca="false">Budget!K7</f>
        <v>514400</v>
      </c>
      <c r="O89" s="48" t="n">
        <f aca="false">Budget!L7</f>
        <v>529100</v>
      </c>
      <c r="P89" s="48" t="n">
        <f aca="false">Budget!M7</f>
        <v>510100</v>
      </c>
    </row>
    <row r="90" customFormat="false" ht="15" hidden="false" customHeight="false" outlineLevel="0" collapsed="false">
      <c r="A90" s="12" t="s">
        <v>157</v>
      </c>
      <c r="E90" s="48" t="n">
        <f aca="false">Budget!B8</f>
        <v>3000</v>
      </c>
      <c r="F90" s="48" t="n">
        <f aca="false">Budget!C8</f>
        <v>3000</v>
      </c>
      <c r="G90" s="48" t="n">
        <f aca="false">Budget!D8</f>
        <v>3000</v>
      </c>
      <c r="H90" s="48" t="n">
        <f aca="false">Budget!E8</f>
        <v>3000</v>
      </c>
      <c r="I90" s="48" t="n">
        <f aca="false">Budget!F8</f>
        <v>3000</v>
      </c>
      <c r="J90" s="48" t="n">
        <f aca="false">Budget!G8</f>
        <v>3000</v>
      </c>
      <c r="K90" s="48" t="n">
        <f aca="false">Budget!H8</f>
        <v>3000</v>
      </c>
      <c r="L90" s="48" t="n">
        <f aca="false">Budget!I8</f>
        <v>3000</v>
      </c>
      <c r="M90" s="48" t="n">
        <f aca="false">Budget!J8</f>
        <v>3000</v>
      </c>
      <c r="N90" s="48" t="n">
        <f aca="false">Budget!K8</f>
        <v>3000</v>
      </c>
      <c r="O90" s="48" t="n">
        <f aca="false">Budget!L8</f>
        <v>3000</v>
      </c>
      <c r="P90" s="48" t="n">
        <f aca="false">Budget!M8</f>
        <v>3000</v>
      </c>
    </row>
    <row r="91" customFormat="false" ht="15" hidden="false" customHeight="false" outlineLevel="0" collapsed="false">
      <c r="A91" s="12" t="s">
        <v>165</v>
      </c>
      <c r="E91" s="48" t="n">
        <f aca="false">Budget!B9</f>
        <v>132500</v>
      </c>
      <c r="F91" s="48" t="n">
        <f aca="false">Budget!C9</f>
        <v>133100</v>
      </c>
      <c r="G91" s="48" t="n">
        <f aca="false">Budget!D9</f>
        <v>133700</v>
      </c>
      <c r="H91" s="48" t="n">
        <f aca="false">Budget!E9</f>
        <v>134300</v>
      </c>
      <c r="I91" s="48" t="n">
        <f aca="false">Budget!F9</f>
        <v>135000</v>
      </c>
      <c r="J91" s="48" t="n">
        <f aca="false">Budget!G9</f>
        <v>135600</v>
      </c>
      <c r="K91" s="48" t="n">
        <f aca="false">Budget!H9</f>
        <v>136200</v>
      </c>
      <c r="L91" s="48" t="n">
        <f aca="false">Budget!I9</f>
        <v>136800</v>
      </c>
      <c r="M91" s="48" t="n">
        <f aca="false">Budget!J9</f>
        <v>137400</v>
      </c>
      <c r="N91" s="48" t="n">
        <f aca="false">Budget!K9</f>
        <v>138000</v>
      </c>
      <c r="O91" s="48" t="n">
        <f aca="false">Budget!L9</f>
        <v>138600</v>
      </c>
      <c r="P91" s="48" t="n">
        <f aca="false">Budget!M9</f>
        <v>139200</v>
      </c>
    </row>
    <row r="92" customFormat="false" ht="15" hidden="false" customHeight="false" outlineLevel="0" collapsed="false">
      <c r="A92" s="12" t="s">
        <v>169</v>
      </c>
      <c r="E92" s="48" t="n">
        <f aca="false">Budget!B10</f>
        <v>34000</v>
      </c>
      <c r="F92" s="48" t="n">
        <f aca="false">Budget!C10</f>
        <v>34000</v>
      </c>
      <c r="G92" s="48" t="n">
        <f aca="false">Budget!D10</f>
        <v>34000</v>
      </c>
      <c r="H92" s="48" t="n">
        <f aca="false">Budget!E10</f>
        <v>34000</v>
      </c>
      <c r="I92" s="48" t="n">
        <f aca="false">Budget!F10</f>
        <v>34000</v>
      </c>
      <c r="J92" s="48" t="n">
        <f aca="false">Budget!G10</f>
        <v>34000</v>
      </c>
      <c r="K92" s="48" t="n">
        <f aca="false">Budget!H10</f>
        <v>34000</v>
      </c>
      <c r="L92" s="48" t="n">
        <f aca="false">Budget!I10</f>
        <v>34000</v>
      </c>
      <c r="M92" s="48" t="n">
        <f aca="false">Budget!J10</f>
        <v>34000</v>
      </c>
      <c r="N92" s="48" t="n">
        <f aca="false">Budget!K10</f>
        <v>34000</v>
      </c>
      <c r="O92" s="48" t="n">
        <f aca="false">Budget!L10</f>
        <v>34000</v>
      </c>
      <c r="P92" s="48" t="n">
        <f aca="false">Budget!M10</f>
        <v>34000</v>
      </c>
    </row>
    <row r="93" customFormat="false" ht="15" hidden="false" customHeight="false" outlineLevel="0" collapsed="false">
      <c r="A93" s="12" t="s">
        <v>172</v>
      </c>
      <c r="E93" s="48" t="n">
        <f aca="false">Budget!B11</f>
        <v>24000</v>
      </c>
      <c r="F93" s="48" t="n">
        <f aca="false">Budget!C11</f>
        <v>24000</v>
      </c>
      <c r="G93" s="48" t="n">
        <f aca="false">Budget!D11</f>
        <v>24000</v>
      </c>
      <c r="H93" s="48" t="n">
        <f aca="false">Budget!E11</f>
        <v>24000</v>
      </c>
      <c r="I93" s="48" t="n">
        <f aca="false">Budget!F11</f>
        <v>24000</v>
      </c>
      <c r="J93" s="48" t="n">
        <f aca="false">Budget!G11</f>
        <v>24000</v>
      </c>
      <c r="K93" s="48" t="n">
        <f aca="false">Budget!H11</f>
        <v>24000</v>
      </c>
      <c r="L93" s="48" t="n">
        <f aca="false">Budget!I11</f>
        <v>24000</v>
      </c>
      <c r="M93" s="48" t="n">
        <f aca="false">Budget!J11</f>
        <v>24000</v>
      </c>
      <c r="N93" s="48" t="n">
        <f aca="false">Budget!K11</f>
        <v>24000</v>
      </c>
      <c r="O93" s="48" t="n">
        <f aca="false">Budget!L11</f>
        <v>24000</v>
      </c>
      <c r="P93" s="48" t="n">
        <f aca="false">Budget!M11</f>
        <v>24000</v>
      </c>
    </row>
    <row r="94" customFormat="false" ht="15" hidden="false" customHeight="false" outlineLevel="0" collapsed="false">
      <c r="A94" s="12" t="s">
        <v>175</v>
      </c>
      <c r="E94" s="48" t="n">
        <f aca="false">Budget!B12</f>
        <v>17000</v>
      </c>
      <c r="F94" s="48" t="n">
        <f aca="false">Budget!C12</f>
        <v>17000</v>
      </c>
      <c r="G94" s="48" t="n">
        <f aca="false">Budget!D12</f>
        <v>17000</v>
      </c>
      <c r="H94" s="48" t="n">
        <f aca="false">Budget!E12</f>
        <v>17000</v>
      </c>
      <c r="I94" s="48" t="n">
        <f aca="false">Budget!F12</f>
        <v>17000</v>
      </c>
      <c r="J94" s="48" t="n">
        <f aca="false">Budget!G12</f>
        <v>17000</v>
      </c>
      <c r="K94" s="48" t="n">
        <f aca="false">Budget!H12</f>
        <v>17000</v>
      </c>
      <c r="L94" s="48" t="n">
        <f aca="false">Budget!I12</f>
        <v>17000</v>
      </c>
      <c r="M94" s="48" t="n">
        <f aca="false">Budget!J12</f>
        <v>17000</v>
      </c>
      <c r="N94" s="48" t="n">
        <f aca="false">Budget!K12</f>
        <v>17000</v>
      </c>
      <c r="O94" s="48" t="n">
        <f aca="false">Budget!L12</f>
        <v>17000</v>
      </c>
      <c r="P94" s="48" t="n">
        <f aca="false">Budget!M12</f>
        <v>17000</v>
      </c>
    </row>
    <row r="95" customFormat="false" ht="15" hidden="false" customHeight="false" outlineLevel="0" collapsed="false">
      <c r="A95" s="12" t="s">
        <v>179</v>
      </c>
      <c r="E95" s="48" t="n">
        <f aca="false">Budget!B13</f>
        <v>26000</v>
      </c>
      <c r="F95" s="48" t="n">
        <f aca="false">Budget!C13</f>
        <v>26000</v>
      </c>
      <c r="G95" s="48" t="n">
        <f aca="false">Budget!D13</f>
        <v>26000</v>
      </c>
      <c r="H95" s="48" t="n">
        <f aca="false">Budget!E13</f>
        <v>26000</v>
      </c>
      <c r="I95" s="48" t="n">
        <f aca="false">Budget!F13</f>
        <v>26000</v>
      </c>
      <c r="J95" s="48" t="n">
        <f aca="false">Budget!G13</f>
        <v>26000</v>
      </c>
      <c r="K95" s="48" t="n">
        <f aca="false">Budget!H13</f>
        <v>26000</v>
      </c>
      <c r="L95" s="48" t="n">
        <f aca="false">Budget!I13</f>
        <v>26000</v>
      </c>
      <c r="M95" s="48" t="n">
        <f aca="false">Budget!J13</f>
        <v>26000</v>
      </c>
      <c r="N95" s="48" t="n">
        <f aca="false">Budget!K13</f>
        <v>26000</v>
      </c>
      <c r="O95" s="48" t="n">
        <f aca="false">Budget!L13</f>
        <v>26000</v>
      </c>
      <c r="P95" s="48" t="n">
        <f aca="false">Budget!M13</f>
        <v>26000</v>
      </c>
    </row>
    <row r="96" customFormat="false" ht="15" hidden="false" customHeight="false" outlineLevel="0" collapsed="false">
      <c r="A96" s="12" t="s">
        <v>183</v>
      </c>
      <c r="E96" s="48" t="n">
        <f aca="false">Budget!B14</f>
        <v>18000</v>
      </c>
      <c r="F96" s="48" t="n">
        <f aca="false">Budget!C14</f>
        <v>18000</v>
      </c>
      <c r="G96" s="48" t="n">
        <f aca="false">Budget!D14</f>
        <v>18000</v>
      </c>
      <c r="H96" s="48" t="n">
        <f aca="false">Budget!E14</f>
        <v>18000</v>
      </c>
      <c r="I96" s="48" t="n">
        <f aca="false">Budget!F14</f>
        <v>18000</v>
      </c>
      <c r="J96" s="48" t="n">
        <f aca="false">Budget!G14</f>
        <v>18000</v>
      </c>
      <c r="K96" s="48" t="n">
        <f aca="false">Budget!H14</f>
        <v>18000</v>
      </c>
      <c r="L96" s="48" t="n">
        <f aca="false">Budget!I14</f>
        <v>18000</v>
      </c>
      <c r="M96" s="48" t="n">
        <f aca="false">Budget!J14</f>
        <v>18000</v>
      </c>
      <c r="N96" s="48" t="n">
        <f aca="false">Budget!K14</f>
        <v>18000</v>
      </c>
      <c r="O96" s="48" t="n">
        <f aca="false">Budget!L14</f>
        <v>18000</v>
      </c>
      <c r="P96" s="48" t="n">
        <f aca="false">Budget!M14</f>
        <v>18000</v>
      </c>
    </row>
    <row r="97" customFormat="false" ht="15" hidden="false" customHeight="false" outlineLevel="0" collapsed="false">
      <c r="A97" s="12" t="s">
        <v>185</v>
      </c>
      <c r="E97" s="48" t="n">
        <f aca="false">Budget!B15</f>
        <v>8000</v>
      </c>
      <c r="F97" s="48" t="n">
        <f aca="false">Budget!C15</f>
        <v>8000</v>
      </c>
      <c r="G97" s="48" t="n">
        <f aca="false">Budget!D15</f>
        <v>8000</v>
      </c>
      <c r="H97" s="48" t="n">
        <f aca="false">Budget!E15</f>
        <v>8000</v>
      </c>
      <c r="I97" s="48" t="n">
        <f aca="false">Budget!F15</f>
        <v>8000</v>
      </c>
      <c r="J97" s="48" t="n">
        <f aca="false">Budget!G15</f>
        <v>8000</v>
      </c>
      <c r="K97" s="48" t="n">
        <f aca="false">Budget!H15</f>
        <v>8000</v>
      </c>
      <c r="L97" s="48" t="n">
        <f aca="false">Budget!I15</f>
        <v>8000</v>
      </c>
      <c r="M97" s="48" t="n">
        <f aca="false">Budget!J15</f>
        <v>8000</v>
      </c>
      <c r="N97" s="48" t="n">
        <f aca="false">Budget!K15</f>
        <v>8000</v>
      </c>
      <c r="O97" s="48" t="n">
        <f aca="false">Budget!L15</f>
        <v>8000</v>
      </c>
      <c r="P97" s="48" t="n">
        <f aca="false">Budget!M15</f>
        <v>8000</v>
      </c>
    </row>
    <row r="98" customFormat="false" ht="15" hidden="false" customHeight="false" outlineLevel="0" collapsed="false">
      <c r="A98" s="12" t="s">
        <v>186</v>
      </c>
      <c r="E98" s="48" t="n">
        <f aca="false">Budget!B16</f>
        <v>9000</v>
      </c>
      <c r="F98" s="48" t="n">
        <f aca="false">Budget!C16</f>
        <v>9000</v>
      </c>
      <c r="G98" s="48" t="n">
        <f aca="false">Budget!D16</f>
        <v>9000</v>
      </c>
      <c r="H98" s="48" t="n">
        <f aca="false">Budget!E16</f>
        <v>9000</v>
      </c>
      <c r="I98" s="48" t="n">
        <f aca="false">Budget!F16</f>
        <v>9000</v>
      </c>
      <c r="J98" s="48" t="n">
        <f aca="false">Budget!G16</f>
        <v>9000</v>
      </c>
      <c r="K98" s="48" t="n">
        <f aca="false">Budget!H16</f>
        <v>9000</v>
      </c>
      <c r="L98" s="48" t="n">
        <f aca="false">Budget!I16</f>
        <v>9000</v>
      </c>
      <c r="M98" s="48" t="n">
        <f aca="false">Budget!J16</f>
        <v>9000</v>
      </c>
      <c r="N98" s="48" t="n">
        <f aca="false">Budget!K16</f>
        <v>9000</v>
      </c>
      <c r="O98" s="48" t="n">
        <f aca="false">Budget!L16</f>
        <v>9000</v>
      </c>
      <c r="P98" s="48" t="n">
        <f aca="false">Budget!M16</f>
        <v>9000</v>
      </c>
    </row>
    <row r="99" customFormat="false" ht="15" hidden="false" customHeight="false" outlineLevel="0" collapsed="false">
      <c r="A99" s="12" t="s">
        <v>187</v>
      </c>
      <c r="E99" s="48" t="n">
        <f aca="false">Budget!B17</f>
        <v>4500</v>
      </c>
      <c r="F99" s="48" t="n">
        <f aca="false">Budget!C17</f>
        <v>4500</v>
      </c>
      <c r="G99" s="48" t="n">
        <f aca="false">Budget!D17</f>
        <v>4500</v>
      </c>
      <c r="H99" s="48" t="n">
        <f aca="false">Budget!E17</f>
        <v>4500</v>
      </c>
      <c r="I99" s="48" t="n">
        <f aca="false">Budget!F17</f>
        <v>4500</v>
      </c>
      <c r="J99" s="48" t="n">
        <f aca="false">Budget!G17</f>
        <v>4500</v>
      </c>
      <c r="K99" s="48" t="n">
        <f aca="false">Budget!H17</f>
        <v>4500</v>
      </c>
      <c r="L99" s="48" t="n">
        <f aca="false">Budget!I17</f>
        <v>4500</v>
      </c>
      <c r="M99" s="48" t="n">
        <f aca="false">Budget!J17</f>
        <v>4500</v>
      </c>
      <c r="N99" s="48" t="n">
        <f aca="false">Budget!K17</f>
        <v>4500</v>
      </c>
      <c r="O99" s="48" t="n">
        <f aca="false">Budget!L17</f>
        <v>4500</v>
      </c>
      <c r="P99" s="48" t="n">
        <f aca="false">Budget!M17</f>
        <v>4500</v>
      </c>
    </row>
    <row r="100" customFormat="false" ht="15" hidden="false" customHeight="false" outlineLevel="0" collapsed="false">
      <c r="A100" s="12" t="s">
        <v>189</v>
      </c>
      <c r="E100" s="48" t="n">
        <f aca="false">Budget!B18</f>
        <v>15500</v>
      </c>
      <c r="F100" s="48" t="n">
        <f aca="false">Budget!C18</f>
        <v>15500</v>
      </c>
      <c r="G100" s="48" t="n">
        <f aca="false">Budget!D18</f>
        <v>15500</v>
      </c>
      <c r="H100" s="48" t="n">
        <f aca="false">Budget!E18</f>
        <v>15500</v>
      </c>
      <c r="I100" s="48" t="n">
        <f aca="false">Budget!F18</f>
        <v>15500</v>
      </c>
      <c r="J100" s="48" t="n">
        <f aca="false">Budget!G18</f>
        <v>15500</v>
      </c>
      <c r="K100" s="48" t="n">
        <f aca="false">Budget!H18</f>
        <v>15500</v>
      </c>
      <c r="L100" s="48" t="n">
        <f aca="false">Budget!I18</f>
        <v>15500</v>
      </c>
      <c r="M100" s="48" t="n">
        <f aca="false">Budget!J18</f>
        <v>15500</v>
      </c>
      <c r="N100" s="48" t="n">
        <f aca="false">Budget!K18</f>
        <v>15500</v>
      </c>
      <c r="O100" s="48" t="n">
        <f aca="false">Budget!L18</f>
        <v>15500</v>
      </c>
      <c r="P100" s="48" t="n">
        <f aca="false">Budget!M18</f>
        <v>15500</v>
      </c>
    </row>
    <row r="101" customFormat="false" ht="15" hidden="false" customHeight="false" outlineLevel="0" collapsed="false">
      <c r="A101" s="12" t="s">
        <v>194</v>
      </c>
      <c r="E101" s="48" t="n">
        <f aca="false">Budget!B19</f>
        <v>16000</v>
      </c>
      <c r="F101" s="48" t="n">
        <f aca="false">Budget!C19</f>
        <v>16000</v>
      </c>
      <c r="G101" s="48" t="n">
        <f aca="false">Budget!D19</f>
        <v>16000</v>
      </c>
      <c r="H101" s="48" t="n">
        <f aca="false">Budget!E19</f>
        <v>16000</v>
      </c>
      <c r="I101" s="48" t="n">
        <f aca="false">Budget!F19</f>
        <v>19000</v>
      </c>
      <c r="J101" s="48" t="n">
        <f aca="false">Budget!G19</f>
        <v>19000</v>
      </c>
      <c r="K101" s="48" t="n">
        <f aca="false">Budget!H19</f>
        <v>19000</v>
      </c>
      <c r="L101" s="48" t="n">
        <f aca="false">Budget!I19</f>
        <v>19000</v>
      </c>
      <c r="M101" s="48" t="n">
        <f aca="false">Budget!J19</f>
        <v>19000</v>
      </c>
      <c r="N101" s="48" t="n">
        <f aca="false">Budget!K19</f>
        <v>19000</v>
      </c>
      <c r="O101" s="48" t="n">
        <f aca="false">Budget!L19</f>
        <v>19000</v>
      </c>
      <c r="P101" s="48" t="n">
        <f aca="false">Budget!M19</f>
        <v>19000</v>
      </c>
    </row>
    <row r="102" customFormat="false" ht="15" hidden="false" customHeight="false" outlineLevel="0" collapsed="false">
      <c r="A102" s="12" t="s">
        <v>159</v>
      </c>
      <c r="E102" s="48" t="n">
        <f aca="false">Budget!B20</f>
        <v>800</v>
      </c>
      <c r="F102" s="48" t="n">
        <f aca="false">Budget!C20</f>
        <v>800</v>
      </c>
      <c r="G102" s="48" t="n">
        <f aca="false">Budget!D20</f>
        <v>800</v>
      </c>
      <c r="H102" s="48" t="n">
        <f aca="false">Budget!E20</f>
        <v>800</v>
      </c>
      <c r="I102" s="48" t="n">
        <f aca="false">Budget!F20</f>
        <v>800</v>
      </c>
      <c r="J102" s="48" t="n">
        <f aca="false">Budget!G20</f>
        <v>800</v>
      </c>
      <c r="K102" s="48" t="n">
        <f aca="false">Budget!H20</f>
        <v>800</v>
      </c>
      <c r="L102" s="48" t="n">
        <f aca="false">Budget!I20</f>
        <v>800</v>
      </c>
      <c r="M102" s="48" t="n">
        <f aca="false">Budget!J20</f>
        <v>800</v>
      </c>
      <c r="N102" s="48" t="n">
        <f aca="false">Budget!K20</f>
        <v>800</v>
      </c>
      <c r="O102" s="48" t="n">
        <f aca="false">Budget!L20</f>
        <v>800</v>
      </c>
      <c r="P102" s="48" t="n">
        <f aca="false">Budget!M20</f>
        <v>800</v>
      </c>
    </row>
    <row r="103" customFormat="false" ht="15" hidden="false" customHeight="false" outlineLevel="0" collapsed="false">
      <c r="A103" s="12" t="s">
        <v>197</v>
      </c>
      <c r="E103" s="48" t="n">
        <f aca="false">Budget!B21</f>
        <v>7400</v>
      </c>
      <c r="F103" s="48" t="n">
        <f aca="false">Budget!C21</f>
        <v>7200</v>
      </c>
      <c r="G103" s="48" t="n">
        <f aca="false">Budget!D21</f>
        <v>7000</v>
      </c>
      <c r="H103" s="48" t="n">
        <f aca="false">Budget!E21</f>
        <v>6900</v>
      </c>
      <c r="I103" s="48" t="n">
        <f aca="false">Budget!F21</f>
        <v>6800</v>
      </c>
      <c r="J103" s="48" t="n">
        <f aca="false">Budget!G21</f>
        <v>6600</v>
      </c>
      <c r="K103" s="48" t="n">
        <f aca="false">Budget!H21</f>
        <v>6400</v>
      </c>
      <c r="L103" s="48" t="n">
        <f aca="false">Budget!I21</f>
        <v>6300</v>
      </c>
      <c r="M103" s="48" t="n">
        <f aca="false">Budget!J21</f>
        <v>6200</v>
      </c>
      <c r="N103" s="48" t="n">
        <f aca="false">Budget!K21</f>
        <v>6000</v>
      </c>
      <c r="O103" s="48" t="n">
        <f aca="false">Budget!L21</f>
        <v>5800</v>
      </c>
      <c r="P103" s="48" t="n">
        <f aca="false">Budget!M21</f>
        <v>5700</v>
      </c>
    </row>
    <row r="104" customFormat="false" ht="15" hidden="false" customHeight="false" outlineLevel="0" collapsed="false">
      <c r="A104" s="12" t="s">
        <v>199</v>
      </c>
      <c r="E104" s="48" t="n">
        <f aca="false">Budget!B22</f>
        <v>9900</v>
      </c>
      <c r="F104" s="48" t="n">
        <f aca="false">Budget!C22</f>
        <v>10700</v>
      </c>
      <c r="G104" s="48" t="n">
        <f aca="false">Budget!D22</f>
        <v>16500</v>
      </c>
      <c r="H104" s="48" t="n">
        <f aca="false">Budget!E22</f>
        <v>17400</v>
      </c>
      <c r="I104" s="48" t="n">
        <f aca="false">Budget!F22</f>
        <v>19500</v>
      </c>
      <c r="J104" s="48" t="n">
        <f aca="false">Budget!G22</f>
        <v>18400</v>
      </c>
      <c r="K104" s="48" t="n">
        <f aca="false">Budget!H22</f>
        <v>21400</v>
      </c>
      <c r="L104" s="48" t="n">
        <f aca="false">Budget!I22</f>
        <v>24400</v>
      </c>
      <c r="M104" s="48" t="n">
        <f aca="false">Budget!J22</f>
        <v>27500</v>
      </c>
      <c r="N104" s="48" t="n">
        <f aca="false">Budget!K22</f>
        <v>30600</v>
      </c>
      <c r="O104" s="48" t="n">
        <f aca="false">Budget!L22</f>
        <v>33800</v>
      </c>
      <c r="P104" s="48" t="n">
        <f aca="false">Budget!M22</f>
        <v>29400</v>
      </c>
    </row>
    <row r="107" customFormat="false" ht="15" hidden="false" customHeight="false" outlineLevel="0" collapsed="false">
      <c r="A107" s="21" t="s">
        <v>464</v>
      </c>
    </row>
    <row r="108" customFormat="false" ht="15" hidden="false" customHeight="false" outlineLevel="0" collapsed="false">
      <c r="A108" s="12" t="s">
        <v>154</v>
      </c>
      <c r="D108" s="48" t="n">
        <v>0</v>
      </c>
      <c r="E108" s="48" t="n">
        <f aca="false">SUM($E88:E88)</f>
        <v>758500</v>
      </c>
      <c r="F108" s="48" t="n">
        <f aca="false">SUM($E88:F88)</f>
        <v>1524600</v>
      </c>
      <c r="G108" s="48" t="n">
        <f aca="false">SUM($E88:G88)</f>
        <v>2339100</v>
      </c>
      <c r="H108" s="48" t="n">
        <f aca="false">SUM($E88:H88)</f>
        <v>3161700</v>
      </c>
      <c r="I108" s="48" t="n">
        <f aca="false">SUM($E88:I88)</f>
        <v>4009100</v>
      </c>
      <c r="J108" s="48" t="n">
        <f aca="false">SUM($E88:J88)</f>
        <v>4848200</v>
      </c>
      <c r="K108" s="48" t="n">
        <f aca="false">SUM($E88:K88)</f>
        <v>5712700</v>
      </c>
      <c r="L108" s="48" t="n">
        <f aca="false">SUM($E88:L88)</f>
        <v>6602900</v>
      </c>
      <c r="M108" s="48" t="n">
        <f aca="false">SUM($E88:M88)</f>
        <v>7519300</v>
      </c>
      <c r="N108" s="48" t="n">
        <f aca="false">SUM($E88:N88)</f>
        <v>8462400</v>
      </c>
      <c r="O108" s="48" t="n">
        <f aca="false">SUM($E88:O88)</f>
        <v>9432500</v>
      </c>
      <c r="P108" s="48" t="n">
        <f aca="false">SUM($E88:P88)</f>
        <v>10367800</v>
      </c>
    </row>
    <row r="109" customFormat="false" ht="15" hidden="false" customHeight="false" outlineLevel="0" collapsed="false">
      <c r="A109" s="12" t="s">
        <v>161</v>
      </c>
      <c r="D109" s="48" t="n">
        <v>0</v>
      </c>
      <c r="E109" s="48" t="n">
        <f aca="false">SUM($E89:E89)</f>
        <v>413700</v>
      </c>
      <c r="F109" s="48" t="n">
        <f aca="false">SUM($E89:F89)</f>
        <v>831500</v>
      </c>
      <c r="G109" s="48" t="n">
        <f aca="false">SUM($E89:G89)</f>
        <v>1275700</v>
      </c>
      <c r="H109" s="48" t="n">
        <f aca="false">SUM($E89:H89)</f>
        <v>1724400</v>
      </c>
      <c r="I109" s="48" t="n">
        <f aca="false">SUM($E89:I89)</f>
        <v>2186600</v>
      </c>
      <c r="J109" s="48" t="n">
        <f aca="false">SUM($E89:J89)</f>
        <v>2644300</v>
      </c>
      <c r="K109" s="48" t="n">
        <f aca="false">SUM($E89:K89)</f>
        <v>3115800</v>
      </c>
      <c r="L109" s="48" t="n">
        <f aca="false">SUM($E89:L89)</f>
        <v>3601400</v>
      </c>
      <c r="M109" s="48" t="n">
        <f aca="false">SUM($E89:M89)</f>
        <v>4101200</v>
      </c>
      <c r="N109" s="48" t="n">
        <f aca="false">SUM($E89:N89)</f>
        <v>4615600</v>
      </c>
      <c r="O109" s="48" t="n">
        <f aca="false">SUM($E89:O89)</f>
        <v>5144700</v>
      </c>
      <c r="P109" s="48" t="n">
        <f aca="false">SUM($E89:P89)</f>
        <v>5654800</v>
      </c>
    </row>
    <row r="110" customFormat="false" ht="15" hidden="false" customHeight="false" outlineLevel="0" collapsed="false">
      <c r="A110" s="12" t="s">
        <v>157</v>
      </c>
      <c r="D110" s="48" t="n">
        <v>0</v>
      </c>
      <c r="E110" s="48" t="n">
        <f aca="false">SUM($E90:E90)</f>
        <v>3000</v>
      </c>
      <c r="F110" s="48" t="n">
        <f aca="false">SUM($E90:F90)</f>
        <v>6000</v>
      </c>
      <c r="G110" s="48" t="n">
        <f aca="false">SUM($E90:G90)</f>
        <v>9000</v>
      </c>
      <c r="H110" s="48" t="n">
        <f aca="false">SUM($E90:H90)</f>
        <v>12000</v>
      </c>
      <c r="I110" s="48" t="n">
        <f aca="false">SUM($E90:I90)</f>
        <v>15000</v>
      </c>
      <c r="J110" s="48" t="n">
        <f aca="false">SUM($E90:J90)</f>
        <v>18000</v>
      </c>
      <c r="K110" s="48" t="n">
        <f aca="false">SUM($E90:K90)</f>
        <v>21000</v>
      </c>
      <c r="L110" s="48" t="n">
        <f aca="false">SUM($E90:L90)</f>
        <v>24000</v>
      </c>
      <c r="M110" s="48" t="n">
        <f aca="false">SUM($E90:M90)</f>
        <v>27000</v>
      </c>
      <c r="N110" s="48" t="n">
        <f aca="false">SUM($E90:N90)</f>
        <v>30000</v>
      </c>
      <c r="O110" s="48" t="n">
        <f aca="false">SUM($E90:O90)</f>
        <v>33000</v>
      </c>
      <c r="P110" s="48" t="n">
        <f aca="false">SUM($E90:P90)</f>
        <v>36000</v>
      </c>
    </row>
    <row r="111" customFormat="false" ht="15" hidden="false" customHeight="false" outlineLevel="0" collapsed="false">
      <c r="A111" s="12" t="s">
        <v>165</v>
      </c>
      <c r="D111" s="48" t="n">
        <v>0</v>
      </c>
      <c r="E111" s="48" t="n">
        <f aca="false">SUM($E91:E91)</f>
        <v>132500</v>
      </c>
      <c r="F111" s="48" t="n">
        <f aca="false">SUM($E91:F91)</f>
        <v>265600</v>
      </c>
      <c r="G111" s="48" t="n">
        <f aca="false">SUM($E91:G91)</f>
        <v>399300</v>
      </c>
      <c r="H111" s="48" t="n">
        <f aca="false">SUM($E91:H91)</f>
        <v>533600</v>
      </c>
      <c r="I111" s="48" t="n">
        <f aca="false">SUM($E91:I91)</f>
        <v>668600</v>
      </c>
      <c r="J111" s="48" t="n">
        <f aca="false">SUM($E91:J91)</f>
        <v>804200</v>
      </c>
      <c r="K111" s="48" t="n">
        <f aca="false">SUM($E91:K91)</f>
        <v>940400</v>
      </c>
      <c r="L111" s="48" t="n">
        <f aca="false">SUM($E91:L91)</f>
        <v>1077200</v>
      </c>
      <c r="M111" s="48" t="n">
        <f aca="false">SUM($E91:M91)</f>
        <v>1214600</v>
      </c>
      <c r="N111" s="48" t="n">
        <f aca="false">SUM($E91:N91)</f>
        <v>1352600</v>
      </c>
      <c r="O111" s="48" t="n">
        <f aca="false">SUM($E91:O91)</f>
        <v>1491200</v>
      </c>
      <c r="P111" s="48" t="n">
        <f aca="false">SUM($E91:P91)</f>
        <v>1630400</v>
      </c>
    </row>
    <row r="112" customFormat="false" ht="15" hidden="false" customHeight="false" outlineLevel="0" collapsed="false">
      <c r="A112" s="12" t="s">
        <v>169</v>
      </c>
      <c r="D112" s="48" t="n">
        <v>0</v>
      </c>
      <c r="E112" s="48" t="n">
        <f aca="false">SUM($E92:E92)</f>
        <v>34000</v>
      </c>
      <c r="F112" s="48" t="n">
        <f aca="false">SUM($E92:F92)</f>
        <v>68000</v>
      </c>
      <c r="G112" s="48" t="n">
        <f aca="false">SUM($E92:G92)</f>
        <v>102000</v>
      </c>
      <c r="H112" s="48" t="n">
        <f aca="false">SUM($E92:H92)</f>
        <v>136000</v>
      </c>
      <c r="I112" s="48" t="n">
        <f aca="false">SUM($E92:I92)</f>
        <v>170000</v>
      </c>
      <c r="J112" s="48" t="n">
        <f aca="false">SUM($E92:J92)</f>
        <v>204000</v>
      </c>
      <c r="K112" s="48" t="n">
        <f aca="false">SUM($E92:K92)</f>
        <v>238000</v>
      </c>
      <c r="L112" s="48" t="n">
        <f aca="false">SUM($E92:L92)</f>
        <v>272000</v>
      </c>
      <c r="M112" s="48" t="n">
        <f aca="false">SUM($E92:M92)</f>
        <v>306000</v>
      </c>
      <c r="N112" s="48" t="n">
        <f aca="false">SUM($E92:N92)</f>
        <v>340000</v>
      </c>
      <c r="O112" s="48" t="n">
        <f aca="false">SUM($E92:O92)</f>
        <v>374000</v>
      </c>
      <c r="P112" s="48" t="n">
        <f aca="false">SUM($E92:P92)</f>
        <v>408000</v>
      </c>
    </row>
    <row r="113" customFormat="false" ht="15" hidden="false" customHeight="false" outlineLevel="0" collapsed="false">
      <c r="A113" s="12" t="s">
        <v>172</v>
      </c>
      <c r="D113" s="48" t="n">
        <v>0</v>
      </c>
      <c r="E113" s="48" t="n">
        <f aca="false">SUM($E93:E93)</f>
        <v>24000</v>
      </c>
      <c r="F113" s="48" t="n">
        <f aca="false">SUM($E93:F93)</f>
        <v>48000</v>
      </c>
      <c r="G113" s="48" t="n">
        <f aca="false">SUM($E93:G93)</f>
        <v>72000</v>
      </c>
      <c r="H113" s="48" t="n">
        <f aca="false">SUM($E93:H93)</f>
        <v>96000</v>
      </c>
      <c r="I113" s="48" t="n">
        <f aca="false">SUM($E93:I93)</f>
        <v>120000</v>
      </c>
      <c r="J113" s="48" t="n">
        <f aca="false">SUM($E93:J93)</f>
        <v>144000</v>
      </c>
      <c r="K113" s="48" t="n">
        <f aca="false">SUM($E93:K93)</f>
        <v>168000</v>
      </c>
      <c r="L113" s="48" t="n">
        <f aca="false">SUM($E93:L93)</f>
        <v>192000</v>
      </c>
      <c r="M113" s="48" t="n">
        <f aca="false">SUM($E93:M93)</f>
        <v>216000</v>
      </c>
      <c r="N113" s="48" t="n">
        <f aca="false">SUM($E93:N93)</f>
        <v>240000</v>
      </c>
      <c r="O113" s="48" t="n">
        <f aca="false">SUM($E93:O93)</f>
        <v>264000</v>
      </c>
      <c r="P113" s="48" t="n">
        <f aca="false">SUM($E93:P93)</f>
        <v>288000</v>
      </c>
    </row>
    <row r="114" customFormat="false" ht="15" hidden="false" customHeight="false" outlineLevel="0" collapsed="false">
      <c r="A114" s="12" t="s">
        <v>175</v>
      </c>
      <c r="D114" s="48" t="n">
        <v>0</v>
      </c>
      <c r="E114" s="48" t="n">
        <f aca="false">SUM($E94:E94)</f>
        <v>17000</v>
      </c>
      <c r="F114" s="48" t="n">
        <f aca="false">SUM($E94:F94)</f>
        <v>34000</v>
      </c>
      <c r="G114" s="48" t="n">
        <f aca="false">SUM($E94:G94)</f>
        <v>51000</v>
      </c>
      <c r="H114" s="48" t="n">
        <f aca="false">SUM($E94:H94)</f>
        <v>68000</v>
      </c>
      <c r="I114" s="48" t="n">
        <f aca="false">SUM($E94:I94)</f>
        <v>85000</v>
      </c>
      <c r="J114" s="48" t="n">
        <f aca="false">SUM($E94:J94)</f>
        <v>102000</v>
      </c>
      <c r="K114" s="48" t="n">
        <f aca="false">SUM($E94:K94)</f>
        <v>119000</v>
      </c>
      <c r="L114" s="48" t="n">
        <f aca="false">SUM($E94:L94)</f>
        <v>136000</v>
      </c>
      <c r="M114" s="48" t="n">
        <f aca="false">SUM($E94:M94)</f>
        <v>153000</v>
      </c>
      <c r="N114" s="48" t="n">
        <f aca="false">SUM($E94:N94)</f>
        <v>170000</v>
      </c>
      <c r="O114" s="48" t="n">
        <f aca="false">SUM($E94:O94)</f>
        <v>187000</v>
      </c>
      <c r="P114" s="48" t="n">
        <f aca="false">SUM($E94:P94)</f>
        <v>204000</v>
      </c>
    </row>
    <row r="115" customFormat="false" ht="15" hidden="false" customHeight="false" outlineLevel="0" collapsed="false">
      <c r="A115" s="12" t="s">
        <v>179</v>
      </c>
      <c r="D115" s="48" t="n">
        <v>0</v>
      </c>
      <c r="E115" s="48" t="n">
        <f aca="false">SUM($E95:E95)</f>
        <v>26000</v>
      </c>
      <c r="F115" s="48" t="n">
        <f aca="false">SUM($E95:F95)</f>
        <v>52000</v>
      </c>
      <c r="G115" s="48" t="n">
        <f aca="false">SUM($E95:G95)</f>
        <v>78000</v>
      </c>
      <c r="H115" s="48" t="n">
        <f aca="false">SUM($E95:H95)</f>
        <v>104000</v>
      </c>
      <c r="I115" s="48" t="n">
        <f aca="false">SUM($E95:I95)</f>
        <v>130000</v>
      </c>
      <c r="J115" s="48" t="n">
        <f aca="false">SUM($E95:J95)</f>
        <v>156000</v>
      </c>
      <c r="K115" s="48" t="n">
        <f aca="false">SUM($E95:K95)</f>
        <v>182000</v>
      </c>
      <c r="L115" s="48" t="n">
        <f aca="false">SUM($E95:L95)</f>
        <v>208000</v>
      </c>
      <c r="M115" s="48" t="n">
        <f aca="false">SUM($E95:M95)</f>
        <v>234000</v>
      </c>
      <c r="N115" s="48" t="n">
        <f aca="false">SUM($E95:N95)</f>
        <v>260000</v>
      </c>
      <c r="O115" s="48" t="n">
        <f aca="false">SUM($E95:O95)</f>
        <v>286000</v>
      </c>
      <c r="P115" s="48" t="n">
        <f aca="false">SUM($E95:P95)</f>
        <v>312000</v>
      </c>
    </row>
    <row r="116" customFormat="false" ht="15" hidden="false" customHeight="false" outlineLevel="0" collapsed="false">
      <c r="A116" s="12" t="s">
        <v>183</v>
      </c>
      <c r="D116" s="48" t="n">
        <v>0</v>
      </c>
      <c r="E116" s="48" t="n">
        <f aca="false">SUM($E96:E96)</f>
        <v>18000</v>
      </c>
      <c r="F116" s="48" t="n">
        <f aca="false">SUM($E96:F96)</f>
        <v>36000</v>
      </c>
      <c r="G116" s="48" t="n">
        <f aca="false">SUM($E96:G96)</f>
        <v>54000</v>
      </c>
      <c r="H116" s="48" t="n">
        <f aca="false">SUM($E96:H96)</f>
        <v>72000</v>
      </c>
      <c r="I116" s="48" t="n">
        <f aca="false">SUM($E96:I96)</f>
        <v>90000</v>
      </c>
      <c r="J116" s="48" t="n">
        <f aca="false">SUM($E96:J96)</f>
        <v>108000</v>
      </c>
      <c r="K116" s="48" t="n">
        <f aca="false">SUM($E96:K96)</f>
        <v>126000</v>
      </c>
      <c r="L116" s="48" t="n">
        <f aca="false">SUM($E96:L96)</f>
        <v>144000</v>
      </c>
      <c r="M116" s="48" t="n">
        <f aca="false">SUM($E96:M96)</f>
        <v>162000</v>
      </c>
      <c r="N116" s="48" t="n">
        <f aca="false">SUM($E96:N96)</f>
        <v>180000</v>
      </c>
      <c r="O116" s="48" t="n">
        <f aca="false">SUM($E96:O96)</f>
        <v>198000</v>
      </c>
      <c r="P116" s="48" t="n">
        <f aca="false">SUM($E96:P96)</f>
        <v>216000</v>
      </c>
    </row>
    <row r="117" customFormat="false" ht="15" hidden="false" customHeight="false" outlineLevel="0" collapsed="false">
      <c r="A117" s="12" t="s">
        <v>185</v>
      </c>
      <c r="D117" s="48" t="n">
        <v>0</v>
      </c>
      <c r="E117" s="48" t="n">
        <f aca="false">SUM($E97:E97)</f>
        <v>8000</v>
      </c>
      <c r="F117" s="48" t="n">
        <f aca="false">SUM($E97:F97)</f>
        <v>16000</v>
      </c>
      <c r="G117" s="48" t="n">
        <f aca="false">SUM($E97:G97)</f>
        <v>24000</v>
      </c>
      <c r="H117" s="48" t="n">
        <f aca="false">SUM($E97:H97)</f>
        <v>32000</v>
      </c>
      <c r="I117" s="48" t="n">
        <f aca="false">SUM($E97:I97)</f>
        <v>40000</v>
      </c>
      <c r="J117" s="48" t="n">
        <f aca="false">SUM($E97:J97)</f>
        <v>48000</v>
      </c>
      <c r="K117" s="48" t="n">
        <f aca="false">SUM($E97:K97)</f>
        <v>56000</v>
      </c>
      <c r="L117" s="48" t="n">
        <f aca="false">SUM($E97:L97)</f>
        <v>64000</v>
      </c>
      <c r="M117" s="48" t="n">
        <f aca="false">SUM($E97:M97)</f>
        <v>72000</v>
      </c>
      <c r="N117" s="48" t="n">
        <f aca="false">SUM($E97:N97)</f>
        <v>80000</v>
      </c>
      <c r="O117" s="48" t="n">
        <f aca="false">SUM($E97:O97)</f>
        <v>88000</v>
      </c>
      <c r="P117" s="48" t="n">
        <f aca="false">SUM($E97:P97)</f>
        <v>96000</v>
      </c>
    </row>
    <row r="118" customFormat="false" ht="15" hidden="false" customHeight="false" outlineLevel="0" collapsed="false">
      <c r="A118" s="12" t="s">
        <v>186</v>
      </c>
      <c r="D118" s="48" t="n">
        <v>0</v>
      </c>
      <c r="E118" s="48" t="n">
        <f aca="false">SUM($E98:E98)</f>
        <v>9000</v>
      </c>
      <c r="F118" s="48" t="n">
        <f aca="false">SUM($E98:F98)</f>
        <v>18000</v>
      </c>
      <c r="G118" s="48" t="n">
        <f aca="false">SUM($E98:G98)</f>
        <v>27000</v>
      </c>
      <c r="H118" s="48" t="n">
        <f aca="false">SUM($E98:H98)</f>
        <v>36000</v>
      </c>
      <c r="I118" s="48" t="n">
        <f aca="false">SUM($E98:I98)</f>
        <v>45000</v>
      </c>
      <c r="J118" s="48" t="n">
        <f aca="false">SUM($E98:J98)</f>
        <v>54000</v>
      </c>
      <c r="K118" s="48" t="n">
        <f aca="false">SUM($E98:K98)</f>
        <v>63000</v>
      </c>
      <c r="L118" s="48" t="n">
        <f aca="false">SUM($E98:L98)</f>
        <v>72000</v>
      </c>
      <c r="M118" s="48" t="n">
        <f aca="false">SUM($E98:M98)</f>
        <v>81000</v>
      </c>
      <c r="N118" s="48" t="n">
        <f aca="false">SUM($E98:N98)</f>
        <v>90000</v>
      </c>
      <c r="O118" s="48" t="n">
        <f aca="false">SUM($E98:O98)</f>
        <v>99000</v>
      </c>
      <c r="P118" s="48" t="n">
        <f aca="false">SUM($E98:P98)</f>
        <v>108000</v>
      </c>
    </row>
    <row r="119" customFormat="false" ht="15" hidden="false" customHeight="false" outlineLevel="0" collapsed="false">
      <c r="A119" s="12" t="s">
        <v>187</v>
      </c>
      <c r="D119" s="48" t="n">
        <v>0</v>
      </c>
      <c r="E119" s="48" t="n">
        <f aca="false">SUM($E99:E99)</f>
        <v>4500</v>
      </c>
      <c r="F119" s="48" t="n">
        <f aca="false">SUM($E99:F99)</f>
        <v>9000</v>
      </c>
      <c r="G119" s="48" t="n">
        <f aca="false">SUM($E99:G99)</f>
        <v>13500</v>
      </c>
      <c r="H119" s="48" t="n">
        <f aca="false">SUM($E99:H99)</f>
        <v>18000</v>
      </c>
      <c r="I119" s="48" t="n">
        <f aca="false">SUM($E99:I99)</f>
        <v>22500</v>
      </c>
      <c r="J119" s="48" t="n">
        <f aca="false">SUM($E99:J99)</f>
        <v>27000</v>
      </c>
      <c r="K119" s="48" t="n">
        <f aca="false">SUM($E99:K99)</f>
        <v>31500</v>
      </c>
      <c r="L119" s="48" t="n">
        <f aca="false">SUM($E99:L99)</f>
        <v>36000</v>
      </c>
      <c r="M119" s="48" t="n">
        <f aca="false">SUM($E99:M99)</f>
        <v>40500</v>
      </c>
      <c r="N119" s="48" t="n">
        <f aca="false">SUM($E99:N99)</f>
        <v>45000</v>
      </c>
      <c r="O119" s="48" t="n">
        <f aca="false">SUM($E99:O99)</f>
        <v>49500</v>
      </c>
      <c r="P119" s="48" t="n">
        <f aca="false">SUM($E99:P99)</f>
        <v>54000</v>
      </c>
    </row>
    <row r="120" customFormat="false" ht="15" hidden="false" customHeight="false" outlineLevel="0" collapsed="false">
      <c r="A120" s="12" t="s">
        <v>189</v>
      </c>
      <c r="D120" s="48" t="n">
        <v>0</v>
      </c>
      <c r="E120" s="48" t="n">
        <f aca="false">SUM($E100:E100)</f>
        <v>15500</v>
      </c>
      <c r="F120" s="48" t="n">
        <f aca="false">SUM($E100:F100)</f>
        <v>31000</v>
      </c>
      <c r="G120" s="48" t="n">
        <f aca="false">SUM($E100:G100)</f>
        <v>46500</v>
      </c>
      <c r="H120" s="48" t="n">
        <f aca="false">SUM($E100:H100)</f>
        <v>62000</v>
      </c>
      <c r="I120" s="48" t="n">
        <f aca="false">SUM($E100:I100)</f>
        <v>77500</v>
      </c>
      <c r="J120" s="48" t="n">
        <f aca="false">SUM($E100:J100)</f>
        <v>93000</v>
      </c>
      <c r="K120" s="48" t="n">
        <f aca="false">SUM($E100:K100)</f>
        <v>108500</v>
      </c>
      <c r="L120" s="48" t="n">
        <f aca="false">SUM($E100:L100)</f>
        <v>124000</v>
      </c>
      <c r="M120" s="48" t="n">
        <f aca="false">SUM($E100:M100)</f>
        <v>139500</v>
      </c>
      <c r="N120" s="48" t="n">
        <f aca="false">SUM($E100:N100)</f>
        <v>155000</v>
      </c>
      <c r="O120" s="48" t="n">
        <f aca="false">SUM($E100:O100)</f>
        <v>170500</v>
      </c>
      <c r="P120" s="48" t="n">
        <f aca="false">SUM($E100:P100)</f>
        <v>186000</v>
      </c>
    </row>
    <row r="121" customFormat="false" ht="15" hidden="false" customHeight="false" outlineLevel="0" collapsed="false">
      <c r="A121" s="12" t="s">
        <v>194</v>
      </c>
      <c r="D121" s="48" t="n">
        <v>0</v>
      </c>
      <c r="E121" s="48" t="n">
        <f aca="false">SUM($E101:E101)</f>
        <v>16000</v>
      </c>
      <c r="F121" s="48" t="n">
        <f aca="false">SUM($E101:F101)</f>
        <v>32000</v>
      </c>
      <c r="G121" s="48" t="n">
        <f aca="false">SUM($E101:G101)</f>
        <v>48000</v>
      </c>
      <c r="H121" s="48" t="n">
        <f aca="false">SUM($E101:H101)</f>
        <v>64000</v>
      </c>
      <c r="I121" s="48" t="n">
        <f aca="false">SUM($E101:I101)</f>
        <v>83000</v>
      </c>
      <c r="J121" s="48" t="n">
        <f aca="false">SUM($E101:J101)</f>
        <v>102000</v>
      </c>
      <c r="K121" s="48" t="n">
        <f aca="false">SUM($E101:K101)</f>
        <v>121000</v>
      </c>
      <c r="L121" s="48" t="n">
        <f aca="false">SUM($E101:L101)</f>
        <v>140000</v>
      </c>
      <c r="M121" s="48" t="n">
        <f aca="false">SUM($E101:M101)</f>
        <v>159000</v>
      </c>
      <c r="N121" s="48" t="n">
        <f aca="false">SUM($E101:N101)</f>
        <v>178000</v>
      </c>
      <c r="O121" s="48" t="n">
        <f aca="false">SUM($E101:O101)</f>
        <v>197000</v>
      </c>
      <c r="P121" s="48" t="n">
        <f aca="false">SUM($E101:P101)</f>
        <v>216000</v>
      </c>
    </row>
    <row r="122" customFormat="false" ht="15" hidden="false" customHeight="false" outlineLevel="0" collapsed="false">
      <c r="A122" s="12" t="s">
        <v>159</v>
      </c>
      <c r="D122" s="48" t="n">
        <v>0</v>
      </c>
      <c r="E122" s="48" t="n">
        <f aca="false">SUM($E102:E102)</f>
        <v>800</v>
      </c>
      <c r="F122" s="48" t="n">
        <f aca="false">SUM($E102:F102)</f>
        <v>1600</v>
      </c>
      <c r="G122" s="48" t="n">
        <f aca="false">SUM($E102:G102)</f>
        <v>2400</v>
      </c>
      <c r="H122" s="48" t="n">
        <f aca="false">SUM($E102:H102)</f>
        <v>3200</v>
      </c>
      <c r="I122" s="48" t="n">
        <f aca="false">SUM($E102:I102)</f>
        <v>4000</v>
      </c>
      <c r="J122" s="48" t="n">
        <f aca="false">SUM($E102:J102)</f>
        <v>4800</v>
      </c>
      <c r="K122" s="48" t="n">
        <f aca="false">SUM($E102:K102)</f>
        <v>5600</v>
      </c>
      <c r="L122" s="48" t="n">
        <f aca="false">SUM($E102:L102)</f>
        <v>6400</v>
      </c>
      <c r="M122" s="48" t="n">
        <f aca="false">SUM($E102:M102)</f>
        <v>7200</v>
      </c>
      <c r="N122" s="48" t="n">
        <f aca="false">SUM($E102:N102)</f>
        <v>8000</v>
      </c>
      <c r="O122" s="48" t="n">
        <f aca="false">SUM($E102:O102)</f>
        <v>8800</v>
      </c>
      <c r="P122" s="48" t="n">
        <f aca="false">SUM($E102:P102)</f>
        <v>9600</v>
      </c>
    </row>
    <row r="123" customFormat="false" ht="15" hidden="false" customHeight="false" outlineLevel="0" collapsed="false">
      <c r="A123" s="12" t="s">
        <v>197</v>
      </c>
      <c r="D123" s="48" t="n">
        <v>0</v>
      </c>
      <c r="E123" s="48" t="n">
        <f aca="false">SUM($E103:E103)</f>
        <v>7400</v>
      </c>
      <c r="F123" s="48" t="n">
        <f aca="false">SUM($E103:F103)</f>
        <v>14600</v>
      </c>
      <c r="G123" s="48" t="n">
        <f aca="false">SUM($E103:G103)</f>
        <v>21600</v>
      </c>
      <c r="H123" s="48" t="n">
        <f aca="false">SUM($E103:H103)</f>
        <v>28500</v>
      </c>
      <c r="I123" s="48" t="n">
        <f aca="false">SUM($E103:I103)</f>
        <v>35300</v>
      </c>
      <c r="J123" s="48" t="n">
        <f aca="false">SUM($E103:J103)</f>
        <v>41900</v>
      </c>
      <c r="K123" s="48" t="n">
        <f aca="false">SUM($E103:K103)</f>
        <v>48300</v>
      </c>
      <c r="L123" s="48" t="n">
        <f aca="false">SUM($E103:L103)</f>
        <v>54600</v>
      </c>
      <c r="M123" s="48" t="n">
        <f aca="false">SUM($E103:M103)</f>
        <v>60800</v>
      </c>
      <c r="N123" s="48" t="n">
        <f aca="false">SUM($E103:N103)</f>
        <v>66800</v>
      </c>
      <c r="O123" s="48" t="n">
        <f aca="false">SUM($E103:O103)</f>
        <v>72600</v>
      </c>
      <c r="P123" s="48" t="n">
        <f aca="false">SUM($E103:P103)</f>
        <v>78300</v>
      </c>
    </row>
    <row r="124" customFormat="false" ht="15" hidden="false" customHeight="false" outlineLevel="0" collapsed="false">
      <c r="A124" s="12" t="s">
        <v>199</v>
      </c>
      <c r="D124" s="48" t="n">
        <v>0</v>
      </c>
      <c r="E124" s="48" t="n">
        <f aca="false">SUM($E104:E104)</f>
        <v>9900</v>
      </c>
      <c r="F124" s="48" t="n">
        <f aca="false">SUM($E104:F104)</f>
        <v>20600</v>
      </c>
      <c r="G124" s="48" t="n">
        <f aca="false">SUM($E104:G104)</f>
        <v>37100</v>
      </c>
      <c r="H124" s="48" t="n">
        <f aca="false">SUM($E104:H104)</f>
        <v>54500</v>
      </c>
      <c r="I124" s="48" t="n">
        <f aca="false">SUM($E104:I104)</f>
        <v>74000</v>
      </c>
      <c r="J124" s="48" t="n">
        <f aca="false">SUM($E104:J104)</f>
        <v>92400</v>
      </c>
      <c r="K124" s="48" t="n">
        <f aca="false">SUM($E104:K104)</f>
        <v>113800</v>
      </c>
      <c r="L124" s="48" t="n">
        <f aca="false">SUM($E104:L104)</f>
        <v>138200</v>
      </c>
      <c r="M124" s="48" t="n">
        <f aca="false">SUM($E104:M104)</f>
        <v>165700</v>
      </c>
      <c r="N124" s="48" t="n">
        <f aca="false">SUM($E104:N104)</f>
        <v>196300</v>
      </c>
      <c r="O124" s="48" t="n">
        <f aca="false">SUM($E104:O104)</f>
        <v>230100</v>
      </c>
      <c r="P124" s="48" t="n">
        <f aca="false">SUM($E104:P104)</f>
        <v>259500</v>
      </c>
    </row>
    <row r="127" customFormat="false" ht="15" hidden="false" customHeight="false" outlineLevel="0" collapsed="false">
      <c r="A127" s="21" t="s">
        <v>465</v>
      </c>
    </row>
    <row r="128" customFormat="false" ht="15" hidden="false" customHeight="false" outlineLevel="0" collapsed="false">
      <c r="A128" s="12" t="s">
        <v>113</v>
      </c>
      <c r="E128" s="48" t="n">
        <f aca="false">-(E23-D23)</f>
        <v>14500</v>
      </c>
      <c r="F128" s="48" t="n">
        <f aca="false">-(F23-E23)</f>
        <v>14500</v>
      </c>
      <c r="G128" s="48" t="n">
        <f aca="false">-(G23-F23)</f>
        <v>14500</v>
      </c>
      <c r="H128" s="48" t="n">
        <f aca="false">-(H23-G23)</f>
        <v>-165500</v>
      </c>
      <c r="I128" s="48" t="n">
        <f aca="false">-(I23-H23)</f>
        <v>17500</v>
      </c>
      <c r="J128" s="48" t="n">
        <f aca="false">-(J23-I23)</f>
        <v>17500</v>
      </c>
      <c r="K128" s="48" t="n">
        <f aca="false">-(K23-J23)</f>
        <v>-27500</v>
      </c>
      <c r="L128" s="48" t="n">
        <f aca="false">-(L23-K23)</f>
        <v>18250</v>
      </c>
      <c r="M128" s="48" t="n">
        <f aca="false">-(M23-L23)</f>
        <v>18250</v>
      </c>
      <c r="N128" s="48" t="n">
        <f aca="false">-(N23-M23)</f>
        <v>1008000</v>
      </c>
      <c r="O128" s="48" t="n">
        <f aca="false">-(O23-N23)</f>
        <v>-0</v>
      </c>
      <c r="P128" s="48" t="n">
        <f aca="false">-(P23-O23)</f>
        <v>-0</v>
      </c>
    </row>
    <row r="129" customFormat="false" ht="15" hidden="false" customHeight="false" outlineLevel="0" collapsed="false">
      <c r="A129" s="12" t="s">
        <v>116</v>
      </c>
      <c r="E129" s="48" t="n">
        <f aca="false">-(E24-D24)</f>
        <v>1500</v>
      </c>
      <c r="F129" s="48" t="n">
        <f aca="false">-(F24-E24)</f>
        <v>1500</v>
      </c>
      <c r="G129" s="48" t="n">
        <f aca="false">-(G24-F24)</f>
        <v>1500</v>
      </c>
      <c r="H129" s="48" t="n">
        <f aca="false">-(H24-G24)</f>
        <v>1500</v>
      </c>
      <c r="I129" s="48" t="n">
        <f aca="false">-(I24-H24)</f>
        <v>1500</v>
      </c>
      <c r="J129" s="48" t="n">
        <f aca="false">-(J24-I24)</f>
        <v>1500</v>
      </c>
      <c r="K129" s="48" t="n">
        <f aca="false">-(K24-J24)</f>
        <v>1500</v>
      </c>
      <c r="L129" s="48" t="n">
        <f aca="false">-(L24-K24)</f>
        <v>1500</v>
      </c>
      <c r="M129" s="48" t="n">
        <f aca="false">-(M24-L24)</f>
        <v>1500</v>
      </c>
      <c r="N129" s="48" t="n">
        <f aca="false">-(N24-M24)</f>
        <v>66500</v>
      </c>
      <c r="O129" s="48" t="n">
        <f aca="false">-(O24-N24)</f>
        <v>-0</v>
      </c>
      <c r="P129" s="48" t="n">
        <f aca="false">-(P24-O24)</f>
        <v>-0</v>
      </c>
    </row>
    <row r="130" customFormat="false" ht="15" hidden="false" customHeight="false" outlineLevel="0" collapsed="false">
      <c r="A130" s="12" t="s">
        <v>118</v>
      </c>
      <c r="E130" s="48" t="n">
        <f aca="false">-(E25-D25)</f>
        <v>-0</v>
      </c>
      <c r="F130" s="48" t="n">
        <f aca="false">-(F25-E25)</f>
        <v>-0</v>
      </c>
      <c r="G130" s="48" t="n">
        <f aca="false">-(G25-F25)</f>
        <v>-0</v>
      </c>
      <c r="H130" s="48" t="n">
        <f aca="false">-(H25-G25)</f>
        <v>-0</v>
      </c>
      <c r="I130" s="48" t="n">
        <f aca="false">-(I25-H25)</f>
        <v>-0</v>
      </c>
      <c r="J130" s="48" t="n">
        <f aca="false">-(J25-I25)</f>
        <v>-0</v>
      </c>
      <c r="K130" s="48" t="n">
        <f aca="false">-(K25-J25)</f>
        <v>-0</v>
      </c>
      <c r="L130" s="48" t="n">
        <f aca="false">-(L25-K25)</f>
        <v>-0</v>
      </c>
      <c r="M130" s="48" t="n">
        <f aca="false">-(M25-L25)</f>
        <v>-0</v>
      </c>
      <c r="N130" s="48" t="n">
        <f aca="false">-(N25-M25)</f>
        <v>60000</v>
      </c>
      <c r="O130" s="48" t="n">
        <f aca="false">-(O25-N25)</f>
        <v>-0</v>
      </c>
      <c r="P130" s="48" t="n">
        <f aca="false">-(P25-O25)</f>
        <v>-0</v>
      </c>
    </row>
    <row r="131" customFormat="false" ht="15" hidden="false" customHeight="false" outlineLevel="0" collapsed="false">
      <c r="A131" s="12" t="s">
        <v>120</v>
      </c>
      <c r="E131" s="48" t="n">
        <f aca="false">-(E26-D26)</f>
        <v>-8885</v>
      </c>
      <c r="F131" s="48" t="n">
        <f aca="false">-(F26-E26)</f>
        <v>-7430</v>
      </c>
      <c r="G131" s="48" t="n">
        <f aca="false">-(G26-F26)</f>
        <v>-21685</v>
      </c>
      <c r="H131" s="48" t="n">
        <f aca="false">-(H26-G26)</f>
        <v>-1887</v>
      </c>
      <c r="I131" s="48" t="n">
        <f aca="false">-(I26-H26)</f>
        <v>-23462</v>
      </c>
      <c r="J131" s="48" t="n">
        <f aca="false">-(J26-I26)</f>
        <v>-2313</v>
      </c>
      <c r="K131" s="48" t="n">
        <f aca="false">-(K26-J26)</f>
        <v>-4150</v>
      </c>
      <c r="L131" s="48" t="n">
        <f aca="false">-(L26-K26)</f>
        <v>-7460</v>
      </c>
      <c r="M131" s="48" t="n">
        <f aca="false">-(M26-L26)</f>
        <v>-14127</v>
      </c>
      <c r="N131" s="48" t="n">
        <f aca="false">-(N26-M26)</f>
        <v>731399</v>
      </c>
      <c r="O131" s="48" t="n">
        <f aca="false">-(O26-N26)</f>
        <v>-0</v>
      </c>
      <c r="P131" s="48" t="n">
        <f aca="false">-(P26-O26)</f>
        <v>-0</v>
      </c>
    </row>
    <row r="132" customFormat="false" ht="15" hidden="false" customHeight="false" outlineLevel="0" collapsed="false">
      <c r="A132" s="12" t="s">
        <v>110</v>
      </c>
      <c r="E132" s="48" t="n">
        <f aca="false">-(E27-D27)</f>
        <v>-16139</v>
      </c>
      <c r="F132" s="48" t="n">
        <f aca="false">-(F27-E27)</f>
        <v>-37400</v>
      </c>
      <c r="G132" s="48" t="n">
        <f aca="false">-(G27-F27)</f>
        <v>-55372</v>
      </c>
      <c r="H132" s="48" t="n">
        <f aca="false">-(H27-G27)</f>
        <v>-32119</v>
      </c>
      <c r="I132" s="48" t="n">
        <f aca="false">-(I27-H27)</f>
        <v>-44021</v>
      </c>
      <c r="J132" s="48" t="n">
        <f aca="false">-(J27-I27)</f>
        <v>-7667</v>
      </c>
      <c r="K132" s="48" t="n">
        <f aca="false">-(K27-J27)</f>
        <v>-47614</v>
      </c>
      <c r="L132" s="48" t="n">
        <f aca="false">-(L27-K27)</f>
        <v>-25154</v>
      </c>
      <c r="M132" s="48" t="n">
        <f aca="false">-(M27-L27)</f>
        <v>-34407</v>
      </c>
      <c r="N132" s="48" t="n">
        <f aca="false">-(N27-M27)</f>
        <v>1309893</v>
      </c>
      <c r="O132" s="48" t="n">
        <f aca="false">-(O27-N27)</f>
        <v>-0</v>
      </c>
      <c r="P132" s="48" t="n">
        <f aca="false">-(P27-O27)</f>
        <v>-0</v>
      </c>
    </row>
    <row r="133" customFormat="false" ht="15" hidden="false" customHeight="false" outlineLevel="0" collapsed="false">
      <c r="A133" s="12" t="s">
        <v>123</v>
      </c>
      <c r="E133" s="48" t="n">
        <f aca="false">-(E28-D28)</f>
        <v>-0</v>
      </c>
      <c r="F133" s="48" t="n">
        <f aca="false">-(F28-E28)</f>
        <v>-0</v>
      </c>
      <c r="G133" s="48" t="n">
        <f aca="false">-(G28-F28)</f>
        <v>-0</v>
      </c>
      <c r="H133" s="48" t="n">
        <f aca="false">-(H28-G28)</f>
        <v>-0</v>
      </c>
      <c r="I133" s="48" t="n">
        <f aca="false">-(I28-H28)</f>
        <v>-0</v>
      </c>
      <c r="J133" s="48" t="n">
        <f aca="false">-(J28-I28)</f>
        <v>-0</v>
      </c>
      <c r="K133" s="48" t="n">
        <f aca="false">-(K28-J28)</f>
        <v>-0</v>
      </c>
      <c r="L133" s="48" t="n">
        <f aca="false">-(L28-K28)</f>
        <v>-0</v>
      </c>
      <c r="M133" s="48" t="n">
        <f aca="false">-(M28-L28)</f>
        <v>-0</v>
      </c>
      <c r="N133" s="48" t="n">
        <f aca="false">-(N28-M28)</f>
        <v>97000</v>
      </c>
      <c r="O133" s="48" t="n">
        <f aca="false">-(O28-N28)</f>
        <v>-0</v>
      </c>
      <c r="P133" s="48" t="n">
        <f aca="false">-(P28-O28)</f>
        <v>-0</v>
      </c>
    </row>
    <row r="134" customFormat="false" ht="15" hidden="false" customHeight="false" outlineLevel="0" collapsed="false">
      <c r="A134" s="12" t="s">
        <v>126</v>
      </c>
      <c r="E134" s="48" t="n">
        <f aca="false">-(E29-D29)</f>
        <v>67699</v>
      </c>
      <c r="F134" s="48" t="n">
        <f aca="false">-(F29-E29)</f>
        <v>340157</v>
      </c>
      <c r="G134" s="48" t="n">
        <f aca="false">-(G29-F29)</f>
        <v>14523</v>
      </c>
      <c r="H134" s="48" t="n">
        <f aca="false">-(H29-G29)</f>
        <v>158171</v>
      </c>
      <c r="I134" s="48" t="n">
        <f aca="false">-(I29-H29)</f>
        <v>72066</v>
      </c>
      <c r="J134" s="48" t="n">
        <f aca="false">-(J29-I29)</f>
        <v>47638</v>
      </c>
      <c r="K134" s="48" t="n">
        <f aca="false">-(K29-J29)</f>
        <v>34311</v>
      </c>
      <c r="L134" s="48" t="n">
        <f aca="false">-(L29-K29)</f>
        <v>-92232</v>
      </c>
      <c r="M134" s="48" t="n">
        <f aca="false">-(M29-L29)</f>
        <v>-40913</v>
      </c>
      <c r="N134" s="48" t="n">
        <f aca="false">-(N29-M29)</f>
        <v>501580</v>
      </c>
      <c r="O134" s="48" t="n">
        <f aca="false">-(O29-N29)</f>
        <v>-0</v>
      </c>
      <c r="P134" s="48" t="n">
        <f aca="false">-(P29-O29)</f>
        <v>-0</v>
      </c>
    </row>
    <row r="135" customFormat="false" ht="15" hidden="false" customHeight="false" outlineLevel="0" collapsed="false">
      <c r="A135" s="12" t="s">
        <v>148</v>
      </c>
      <c r="E135" s="48" t="n">
        <f aca="false">-(E30-D30)</f>
        <v>-0</v>
      </c>
      <c r="F135" s="48" t="n">
        <f aca="false">-(F30-E30)</f>
        <v>-0</v>
      </c>
      <c r="G135" s="48" t="n">
        <f aca="false">-(G30-F30)</f>
        <v>-0</v>
      </c>
      <c r="H135" s="48" t="n">
        <f aca="false">-(H30-G30)</f>
        <v>-0</v>
      </c>
      <c r="I135" s="48" t="n">
        <f aca="false">-(I30-H30)</f>
        <v>-0</v>
      </c>
      <c r="J135" s="48" t="n">
        <f aca="false">-(J30-I30)</f>
        <v>-0</v>
      </c>
      <c r="K135" s="48" t="n">
        <f aca="false">-(K30-J30)</f>
        <v>-0</v>
      </c>
      <c r="L135" s="48" t="n">
        <f aca="false">-(L30-K30)</f>
        <v>-0</v>
      </c>
      <c r="M135" s="48" t="n">
        <f aca="false">-(M30-L30)</f>
        <v>-0</v>
      </c>
      <c r="N135" s="48" t="n">
        <f aca="false">-(N30-M30)</f>
        <v>-100</v>
      </c>
      <c r="O135" s="48" t="n">
        <f aca="false">-(O30-N30)</f>
        <v>-0</v>
      </c>
      <c r="P135" s="48" t="n">
        <f aca="false">-(P30-O30)</f>
        <v>-0</v>
      </c>
    </row>
    <row r="136" customFormat="false" ht="15" hidden="false" customHeight="false" outlineLevel="0" collapsed="false">
      <c r="A136" s="12" t="s">
        <v>150</v>
      </c>
      <c r="E136" s="48" t="n">
        <f aca="false">-(E31-D31)</f>
        <v>-0</v>
      </c>
      <c r="F136" s="48" t="n">
        <f aca="false">-(F31-E31)</f>
        <v>-0</v>
      </c>
      <c r="G136" s="48" t="n">
        <f aca="false">-(G31-F31)</f>
        <v>-0</v>
      </c>
      <c r="H136" s="48" t="n">
        <f aca="false">-(H31-G31)</f>
        <v>-0</v>
      </c>
      <c r="I136" s="48" t="n">
        <f aca="false">-(I31-H31)</f>
        <v>-0</v>
      </c>
      <c r="J136" s="48" t="n">
        <f aca="false">-(J31-I31)</f>
        <v>-0</v>
      </c>
      <c r="K136" s="48" t="n">
        <f aca="false">-(K31-J31)</f>
        <v>-0</v>
      </c>
      <c r="L136" s="48" t="n">
        <f aca="false">-(L31-K31)</f>
        <v>-0</v>
      </c>
      <c r="M136" s="48" t="n">
        <f aca="false">-(M31-L31)</f>
        <v>-0</v>
      </c>
      <c r="N136" s="48" t="n">
        <f aca="false">-(N31-M31)</f>
        <v>-1640900</v>
      </c>
      <c r="O136" s="48" t="n">
        <f aca="false">-(O31-N31)</f>
        <v>-0</v>
      </c>
      <c r="P136" s="48" t="n">
        <f aca="false">-(P31-O31)</f>
        <v>-0</v>
      </c>
    </row>
    <row r="137" customFormat="false" ht="15" hidden="false" customHeight="false" outlineLevel="0" collapsed="false">
      <c r="A137" s="12" t="s">
        <v>152</v>
      </c>
      <c r="E137" s="48" t="n">
        <f aca="false">-(E32-D32)</f>
        <v>-0</v>
      </c>
      <c r="F137" s="48" t="n">
        <f aca="false">-(F32-E32)</f>
        <v>-0</v>
      </c>
      <c r="G137" s="48" t="n">
        <f aca="false">-(G32-F32)</f>
        <v>-0</v>
      </c>
      <c r="H137" s="48" t="n">
        <f aca="false">-(H32-G32)</f>
        <v>-0</v>
      </c>
      <c r="I137" s="48" t="n">
        <f aca="false">-(I32-H32)</f>
        <v>-100000</v>
      </c>
      <c r="J137" s="48" t="n">
        <f aca="false">-(J32-I32)</f>
        <v>-0</v>
      </c>
      <c r="K137" s="48" t="n">
        <f aca="false">-(K32-J32)</f>
        <v>-0</v>
      </c>
      <c r="L137" s="48" t="n">
        <f aca="false">-(L32-K32)</f>
        <v>-0</v>
      </c>
      <c r="M137" s="48" t="n">
        <f aca="false">-(M32-L32)</f>
        <v>-0</v>
      </c>
      <c r="N137" s="48" t="n">
        <f aca="false">-(N32-M32)</f>
        <v>100000</v>
      </c>
      <c r="O137" s="48" t="n">
        <f aca="false">-(O32-N32)</f>
        <v>-0</v>
      </c>
      <c r="P137" s="48" t="n">
        <f aca="false">-(P32-O32)</f>
        <v>-0</v>
      </c>
    </row>
    <row r="138" customFormat="false" ht="15" hidden="false" customHeight="false" outlineLevel="0" collapsed="false">
      <c r="A138" s="12" t="s">
        <v>145</v>
      </c>
      <c r="E138" s="48" t="n">
        <f aca="false">-(E33-D33)</f>
        <v>-12000</v>
      </c>
      <c r="F138" s="48" t="n">
        <f aca="false">-(F33-E33)</f>
        <v>-12000</v>
      </c>
      <c r="G138" s="48" t="n">
        <f aca="false">-(G33-F33)</f>
        <v>-12000</v>
      </c>
      <c r="H138" s="48" t="n">
        <f aca="false">-(H33-G33)</f>
        <v>-12000</v>
      </c>
      <c r="I138" s="48" t="n">
        <f aca="false">-(I33-H33)</f>
        <v>-12000</v>
      </c>
      <c r="J138" s="48" t="n">
        <f aca="false">-(J33-I33)</f>
        <v>-12000</v>
      </c>
      <c r="K138" s="48" t="n">
        <f aca="false">-(K33-J33)</f>
        <v>-12000</v>
      </c>
      <c r="L138" s="48" t="n">
        <f aca="false">-(L33-K33)</f>
        <v>-12000</v>
      </c>
      <c r="M138" s="48" t="n">
        <f aca="false">-(M33-L33)</f>
        <v>-12000</v>
      </c>
      <c r="N138" s="48" t="n">
        <f aca="false">-(N33-M33)</f>
        <v>-512000</v>
      </c>
      <c r="O138" s="48" t="n">
        <f aca="false">-(O33-N33)</f>
        <v>-0</v>
      </c>
      <c r="P138" s="48" t="n">
        <f aca="false">-(P33-O33)</f>
        <v>-0</v>
      </c>
    </row>
    <row r="139" customFormat="false" ht="15" hidden="false" customHeight="false" outlineLevel="0" collapsed="false">
      <c r="A139" s="12" t="s">
        <v>147</v>
      </c>
      <c r="E139" s="48" t="n">
        <f aca="false">-(E34-D34)</f>
        <v>-0</v>
      </c>
      <c r="F139" s="48" t="n">
        <f aca="false">-(F34-E34)</f>
        <v>-0</v>
      </c>
      <c r="G139" s="48" t="n">
        <f aca="false">-(G34-F34)</f>
        <v>-0</v>
      </c>
      <c r="H139" s="48" t="n">
        <f aca="false">-(H34-G34)</f>
        <v>-0</v>
      </c>
      <c r="I139" s="48" t="n">
        <f aca="false">-(I34-H34)</f>
        <v>-0</v>
      </c>
      <c r="J139" s="48" t="n">
        <f aca="false">-(J34-I34)</f>
        <v>-20000</v>
      </c>
      <c r="K139" s="48" t="n">
        <f aca="false">-(K34-J34)</f>
        <v>-0</v>
      </c>
      <c r="L139" s="48" t="n">
        <f aca="false">-(L34-K34)</f>
        <v>-0</v>
      </c>
      <c r="M139" s="48" t="n">
        <f aca="false">-(M34-L34)</f>
        <v>-0</v>
      </c>
      <c r="N139" s="48" t="n">
        <f aca="false">-(N34-M34)</f>
        <v>-280000</v>
      </c>
      <c r="O139" s="48" t="n">
        <f aca="false">-(O34-N34)</f>
        <v>-0</v>
      </c>
      <c r="P139" s="48" t="n">
        <f aca="false">-(P34-O34)</f>
        <v>-0</v>
      </c>
    </row>
    <row r="140" customFormat="false" ht="15" hidden="false" customHeight="false" outlineLevel="0" collapsed="false">
      <c r="A140" s="12" t="s">
        <v>130</v>
      </c>
      <c r="E140" s="48" t="n">
        <f aca="false">-(E35-D35)</f>
        <v>16071</v>
      </c>
      <c r="F140" s="48" t="n">
        <f aca="false">-(F35-E35)</f>
        <v>30114</v>
      </c>
      <c r="G140" s="48" t="n">
        <f aca="false">-(G35-F35)</f>
        <v>36545</v>
      </c>
      <c r="H140" s="48" t="n">
        <f aca="false">-(H35-G35)</f>
        <v>1008</v>
      </c>
      <c r="I140" s="48" t="n">
        <f aca="false">-(I35-H35)</f>
        <v>56567</v>
      </c>
      <c r="J140" s="48" t="n">
        <f aca="false">-(J35-I35)</f>
        <v>-16961</v>
      </c>
      <c r="K140" s="48" t="n">
        <f aca="false">-(K35-J35)</f>
        <v>26896</v>
      </c>
      <c r="L140" s="48" t="n">
        <f aca="false">-(L35-K35)</f>
        <v>1571</v>
      </c>
      <c r="M140" s="48" t="n">
        <f aca="false">-(M35-L35)</f>
        <v>26794</v>
      </c>
      <c r="N140" s="48" t="n">
        <f aca="false">-(N35-M35)</f>
        <v>-868605</v>
      </c>
      <c r="O140" s="48" t="n">
        <f aca="false">-(O35-N35)</f>
        <v>-0</v>
      </c>
      <c r="P140" s="48" t="n">
        <f aca="false">-(P35-O35)</f>
        <v>-0</v>
      </c>
    </row>
    <row r="141" customFormat="false" ht="15" hidden="false" customHeight="false" outlineLevel="0" collapsed="false">
      <c r="A141" s="12" t="s">
        <v>132</v>
      </c>
      <c r="E141" s="48" t="n">
        <f aca="false">-(E36-D36)</f>
        <v>14000</v>
      </c>
      <c r="F141" s="48" t="n">
        <f aca="false">-(F36-E36)</f>
        <v>-146000</v>
      </c>
      <c r="G141" s="48" t="n">
        <f aca="false">-(G36-F36)</f>
        <v>14000</v>
      </c>
      <c r="H141" s="48" t="n">
        <f aca="false">-(H36-G36)</f>
        <v>14000</v>
      </c>
      <c r="I141" s="48" t="n">
        <f aca="false">-(I36-H36)</f>
        <v>14000</v>
      </c>
      <c r="J141" s="48" t="n">
        <f aca="false">-(J36-I36)</f>
        <v>-22000</v>
      </c>
      <c r="K141" s="48" t="n">
        <f aca="false">-(K36-J36)</f>
        <v>14000</v>
      </c>
      <c r="L141" s="48" t="n">
        <f aca="false">-(L36-K36)</f>
        <v>14000</v>
      </c>
      <c r="M141" s="48" t="n">
        <f aca="false">-(M36-L36)</f>
        <v>14000</v>
      </c>
      <c r="N141" s="48" t="n">
        <f aca="false">-(N36-M36)</f>
        <v>-90000</v>
      </c>
      <c r="O141" s="48" t="n">
        <f aca="false">-(O36-N36)</f>
        <v>-0</v>
      </c>
      <c r="P141" s="48" t="n">
        <f aca="false">-(P36-O36)</f>
        <v>-0</v>
      </c>
    </row>
    <row r="142" customFormat="false" ht="15" hidden="false" customHeight="false" outlineLevel="0" collapsed="false">
      <c r="A142" s="12" t="s">
        <v>135</v>
      </c>
      <c r="E142" s="48" t="n">
        <f aca="false">-(E37-D37)</f>
        <v>-69279</v>
      </c>
      <c r="F142" s="48" t="n">
        <f aca="false">-(F37-E37)</f>
        <v>27079</v>
      </c>
      <c r="G142" s="48" t="n">
        <f aca="false">-(G37-F37)</f>
        <v>-23062</v>
      </c>
      <c r="H142" s="48" t="n">
        <f aca="false">-(H37-G37)</f>
        <v>6129</v>
      </c>
      <c r="I142" s="48" t="n">
        <f aca="false">-(I37-H37)</f>
        <v>-7006</v>
      </c>
      <c r="J142" s="48" t="n">
        <f aca="false">-(J37-I37)</f>
        <v>32992</v>
      </c>
      <c r="K142" s="48" t="n">
        <f aca="false">-(K37-J37)</f>
        <v>-33091</v>
      </c>
      <c r="L142" s="48" t="n">
        <f aca="false">-(L37-K37)</f>
        <v>37570</v>
      </c>
      <c r="M142" s="48" t="n">
        <f aca="false">-(M37-L37)</f>
        <v>-29024</v>
      </c>
      <c r="N142" s="48" t="n">
        <f aca="false">-(N37-M37)</f>
        <v>-37308</v>
      </c>
      <c r="O142" s="48" t="n">
        <f aca="false">-(O37-N37)</f>
        <v>-0</v>
      </c>
      <c r="P142" s="48" t="n">
        <f aca="false">-(P37-O37)</f>
        <v>-0</v>
      </c>
    </row>
    <row r="143" customFormat="false" ht="15" hidden="false" customHeight="false" outlineLevel="0" collapsed="false">
      <c r="A143" s="12" t="s">
        <v>137</v>
      </c>
      <c r="E143" s="48" t="n">
        <f aca="false">-(E38-D38)</f>
        <v>120</v>
      </c>
      <c r="F143" s="48" t="n">
        <f aca="false">-(F38-E38)</f>
        <v>120</v>
      </c>
      <c r="G143" s="48" t="n">
        <f aca="false">-(G38-F38)</f>
        <v>120</v>
      </c>
      <c r="H143" s="48" t="n">
        <f aca="false">-(H38-G38)</f>
        <v>120</v>
      </c>
      <c r="I143" s="48" t="n">
        <f aca="false">-(I38-H38)</f>
        <v>120</v>
      </c>
      <c r="J143" s="48" t="n">
        <f aca="false">-(J38-I38)</f>
        <v>120</v>
      </c>
      <c r="K143" s="48" t="n">
        <f aca="false">-(K38-J38)</f>
        <v>120</v>
      </c>
      <c r="L143" s="48" t="n">
        <f aca="false">-(L38-K38)</f>
        <v>120</v>
      </c>
      <c r="M143" s="48" t="n">
        <f aca="false">-(M38-L38)</f>
        <v>120</v>
      </c>
      <c r="N143" s="48" t="n">
        <f aca="false">-(N38-M38)</f>
        <v>-25080</v>
      </c>
      <c r="O143" s="48" t="n">
        <f aca="false">-(O38-N38)</f>
        <v>-0</v>
      </c>
      <c r="P143" s="48" t="n">
        <f aca="false">-(P38-O38)</f>
        <v>-0</v>
      </c>
    </row>
    <row r="144" customFormat="false" ht="15" hidden="false" customHeight="false" outlineLevel="0" collapsed="false">
      <c r="A144" s="12" t="s">
        <v>140</v>
      </c>
      <c r="E144" s="48" t="n">
        <f aca="false">-(E39-D39)</f>
        <v>2002</v>
      </c>
      <c r="F144" s="48" t="n">
        <f aca="false">-(F39-E39)</f>
        <v>-206123</v>
      </c>
      <c r="G144" s="48" t="n">
        <f aca="false">-(G39-F39)</f>
        <v>12401</v>
      </c>
      <c r="H144" s="48" t="n">
        <f aca="false">-(H39-G39)</f>
        <v>12306</v>
      </c>
      <c r="I144" s="48" t="n">
        <f aca="false">-(I39-H39)</f>
        <v>10729</v>
      </c>
      <c r="J144" s="48" t="n">
        <f aca="false">-(J39-I39)</f>
        <v>-35993</v>
      </c>
      <c r="K144" s="48" t="n">
        <f aca="false">-(K39-J39)</f>
        <v>16883</v>
      </c>
      <c r="L144" s="48" t="n">
        <f aca="false">-(L39-K39)</f>
        <v>21285</v>
      </c>
      <c r="M144" s="48" t="n">
        <f aca="false">-(M39-L39)</f>
        <v>22898</v>
      </c>
      <c r="N144" s="48" t="n">
        <f aca="false">-(N39-M39)</f>
        <v>-66388</v>
      </c>
      <c r="O144" s="48" t="n">
        <f aca="false">-(O39-N39)</f>
        <v>-0</v>
      </c>
      <c r="P144" s="48" t="n">
        <f aca="false">-(P39-O39)</f>
        <v>-0</v>
      </c>
    </row>
    <row r="145" customFormat="false" ht="15" hidden="false" customHeight="false" outlineLevel="0" collapsed="false">
      <c r="A145" s="12" t="s">
        <v>142</v>
      </c>
      <c r="E145" s="48" t="n">
        <f aca="false">-(E40-D40)</f>
        <v>-15000</v>
      </c>
      <c r="F145" s="48" t="n">
        <f aca="false">-(F40-E40)</f>
        <v>-15000</v>
      </c>
      <c r="G145" s="48" t="n">
        <f aca="false">-(G40-F40)</f>
        <v>-15000</v>
      </c>
      <c r="H145" s="48" t="n">
        <f aca="false">-(H40-G40)</f>
        <v>-15000</v>
      </c>
      <c r="I145" s="48" t="n">
        <f aca="false">-(I40-H40)</f>
        <v>-15000</v>
      </c>
      <c r="J145" s="48" t="n">
        <f aca="false">-(J40-I40)</f>
        <v>-15000</v>
      </c>
      <c r="K145" s="48" t="n">
        <f aca="false">-(K40-J40)</f>
        <v>-15000</v>
      </c>
      <c r="L145" s="48" t="n">
        <f aca="false">-(L40-K40)</f>
        <v>-15000</v>
      </c>
      <c r="M145" s="48" t="n">
        <f aca="false">-(M40-L40)</f>
        <v>-15000</v>
      </c>
      <c r="N145" s="48" t="n">
        <f aca="false">-(N40-M40)</f>
        <v>-45000</v>
      </c>
      <c r="O145" s="48" t="n">
        <f aca="false">-(O40-N40)</f>
        <v>-0</v>
      </c>
      <c r="P145" s="48" t="n">
        <f aca="false">-(P40-O40)</f>
        <v>-0</v>
      </c>
    </row>
    <row r="146" customFormat="false" ht="15" hidden="false" customHeight="false" outlineLevel="0" collapsed="false">
      <c r="A146" s="12" t="s">
        <v>143</v>
      </c>
      <c r="E146" s="48" t="n">
        <f aca="false">-(E41-D41)</f>
        <v>-0</v>
      </c>
      <c r="F146" s="48" t="n">
        <f aca="false">-(F41-E41)</f>
        <v>-0</v>
      </c>
      <c r="G146" s="48" t="n">
        <f aca="false">-(G41-F41)</f>
        <v>-0</v>
      </c>
      <c r="H146" s="48" t="n">
        <f aca="false">-(H41-G41)</f>
        <v>-0</v>
      </c>
      <c r="I146" s="48" t="n">
        <f aca="false">-(I41-H41)</f>
        <v>-0</v>
      </c>
      <c r="J146" s="48" t="n">
        <f aca="false">-(J41-I41)</f>
        <v>-0</v>
      </c>
      <c r="K146" s="48" t="n">
        <f aca="false">-(K41-J41)</f>
        <v>-0</v>
      </c>
      <c r="L146" s="48" t="n">
        <f aca="false">-(L41-K41)</f>
        <v>-0</v>
      </c>
      <c r="M146" s="48" t="n">
        <f aca="false">-(M41-L41)</f>
        <v>-0</v>
      </c>
      <c r="N146" s="48" t="n">
        <f aca="false">-(N41-M41)</f>
        <v>-0</v>
      </c>
      <c r="O146" s="48" t="n">
        <f aca="false">-(O41-N41)</f>
        <v>-0</v>
      </c>
      <c r="P146" s="48" t="n">
        <f aca="false">-(P41-O41)</f>
        <v>-0</v>
      </c>
    </row>
  </sheetData>
  <sheetProtection sheet="true" formatColumns="false" formatRows="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12"/>
    <col collapsed="false" customWidth="true" hidden="false" outlineLevel="0" max="3" min="3" style="0" width="26"/>
    <col collapsed="false" customWidth="true" hidden="false" outlineLevel="0" max="4" min="4" style="0" width="18"/>
    <col collapsed="false" customWidth="true" hidden="false" outlineLevel="0" max="5" min="5" style="0" width="8"/>
  </cols>
  <sheetData>
    <row r="1" customFormat="false" ht="17.35" hidden="false" customHeight="false" outlineLevel="0" collapsed="false">
      <c r="A1" s="15" t="s">
        <v>466</v>
      </c>
    </row>
    <row r="2" customFormat="false" ht="15" hidden="false" customHeight="false" outlineLevel="0" collapsed="false">
      <c r="A2" s="16" t="s">
        <v>467</v>
      </c>
    </row>
    <row r="4" customFormat="false" ht="15" hidden="false" customHeight="false" outlineLevel="0" collapsed="false">
      <c r="A4" s="26" t="s">
        <v>204</v>
      </c>
      <c r="B4" s="27" t="s">
        <v>468</v>
      </c>
      <c r="C4" s="27" t="s">
        <v>469</v>
      </c>
      <c r="D4" s="27" t="s">
        <v>470</v>
      </c>
      <c r="E4" s="27" t="s">
        <v>471</v>
      </c>
    </row>
    <row r="5" customFormat="false" ht="15" hidden="false" customHeight="false" outlineLevel="0" collapsed="false">
      <c r="A5" s="12" t="s">
        <v>154</v>
      </c>
      <c r="B5" s="28" t="s">
        <v>457</v>
      </c>
      <c r="C5" s="12" t="s">
        <v>472</v>
      </c>
      <c r="D5" s="28" t="n">
        <v>-1</v>
      </c>
      <c r="E5" s="28" t="n">
        <v>1</v>
      </c>
    </row>
    <row r="6" customFormat="false" ht="15" hidden="false" customHeight="false" outlineLevel="0" collapsed="false">
      <c r="A6" s="12" t="s">
        <v>161</v>
      </c>
      <c r="B6" s="28" t="s">
        <v>457</v>
      </c>
      <c r="C6" s="12" t="s">
        <v>161</v>
      </c>
      <c r="D6" s="28" t="n">
        <v>1</v>
      </c>
      <c r="E6" s="28" t="n">
        <v>2</v>
      </c>
    </row>
    <row r="7" customFormat="false" ht="15" hidden="false" customHeight="false" outlineLevel="0" collapsed="false">
      <c r="A7" s="12" t="s">
        <v>157</v>
      </c>
      <c r="B7" s="28" t="s">
        <v>457</v>
      </c>
      <c r="C7" s="12" t="s">
        <v>472</v>
      </c>
      <c r="D7" s="28" t="n">
        <v>-1</v>
      </c>
      <c r="E7" s="28" t="n">
        <v>3</v>
      </c>
    </row>
    <row r="8" customFormat="false" ht="15" hidden="false" customHeight="false" outlineLevel="0" collapsed="false">
      <c r="A8" s="12" t="s">
        <v>165</v>
      </c>
      <c r="B8" s="28" t="s">
        <v>457</v>
      </c>
      <c r="C8" s="12" t="s">
        <v>219</v>
      </c>
      <c r="D8" s="28" t="n">
        <v>1</v>
      </c>
      <c r="E8" s="28" t="n">
        <v>4</v>
      </c>
    </row>
    <row r="9" customFormat="false" ht="15" hidden="false" customHeight="false" outlineLevel="0" collapsed="false">
      <c r="A9" s="12" t="s">
        <v>169</v>
      </c>
      <c r="B9" s="28" t="s">
        <v>457</v>
      </c>
      <c r="C9" s="12" t="s">
        <v>219</v>
      </c>
      <c r="D9" s="28" t="n">
        <v>1</v>
      </c>
      <c r="E9" s="28" t="n">
        <v>5</v>
      </c>
    </row>
    <row r="10" customFormat="false" ht="15" hidden="false" customHeight="false" outlineLevel="0" collapsed="false">
      <c r="A10" s="12" t="s">
        <v>172</v>
      </c>
      <c r="B10" s="28" t="s">
        <v>457</v>
      </c>
      <c r="C10" s="12" t="s">
        <v>219</v>
      </c>
      <c r="D10" s="28" t="n">
        <v>1</v>
      </c>
      <c r="E10" s="28" t="n">
        <v>6</v>
      </c>
    </row>
    <row r="11" customFormat="false" ht="15" hidden="false" customHeight="false" outlineLevel="0" collapsed="false">
      <c r="A11" s="12" t="s">
        <v>175</v>
      </c>
      <c r="B11" s="28" t="s">
        <v>457</v>
      </c>
      <c r="C11" s="12" t="s">
        <v>219</v>
      </c>
      <c r="D11" s="28" t="n">
        <v>1</v>
      </c>
      <c r="E11" s="28" t="n">
        <v>7</v>
      </c>
    </row>
    <row r="12" customFormat="false" ht="15" hidden="false" customHeight="false" outlineLevel="0" collapsed="false">
      <c r="A12" s="12" t="s">
        <v>179</v>
      </c>
      <c r="B12" s="28" t="s">
        <v>457</v>
      </c>
      <c r="C12" s="12" t="s">
        <v>219</v>
      </c>
      <c r="D12" s="28" t="n">
        <v>1</v>
      </c>
      <c r="E12" s="28" t="n">
        <v>8</v>
      </c>
    </row>
    <row r="13" customFormat="false" ht="15" hidden="false" customHeight="false" outlineLevel="0" collapsed="false">
      <c r="A13" s="12" t="s">
        <v>183</v>
      </c>
      <c r="B13" s="28" t="s">
        <v>457</v>
      </c>
      <c r="C13" s="12" t="s">
        <v>219</v>
      </c>
      <c r="D13" s="28" t="n">
        <v>1</v>
      </c>
      <c r="E13" s="28" t="n">
        <v>9</v>
      </c>
    </row>
    <row r="14" customFormat="false" ht="15" hidden="false" customHeight="false" outlineLevel="0" collapsed="false">
      <c r="A14" s="12" t="s">
        <v>185</v>
      </c>
      <c r="B14" s="28" t="s">
        <v>457</v>
      </c>
      <c r="C14" s="12" t="s">
        <v>219</v>
      </c>
      <c r="D14" s="28" t="n">
        <v>1</v>
      </c>
      <c r="E14" s="28" t="n">
        <v>10</v>
      </c>
    </row>
    <row r="15" customFormat="false" ht="15" hidden="false" customHeight="false" outlineLevel="0" collapsed="false">
      <c r="A15" s="12" t="s">
        <v>186</v>
      </c>
      <c r="B15" s="28" t="s">
        <v>457</v>
      </c>
      <c r="C15" s="12" t="s">
        <v>219</v>
      </c>
      <c r="D15" s="28" t="n">
        <v>1</v>
      </c>
      <c r="E15" s="28" t="n">
        <v>11</v>
      </c>
    </row>
    <row r="16" customFormat="false" ht="15" hidden="false" customHeight="false" outlineLevel="0" collapsed="false">
      <c r="A16" s="12" t="s">
        <v>187</v>
      </c>
      <c r="B16" s="28" t="s">
        <v>457</v>
      </c>
      <c r="C16" s="12" t="s">
        <v>219</v>
      </c>
      <c r="D16" s="28" t="n">
        <v>1</v>
      </c>
      <c r="E16" s="28" t="n">
        <v>12</v>
      </c>
    </row>
    <row r="17" customFormat="false" ht="15" hidden="false" customHeight="false" outlineLevel="0" collapsed="false">
      <c r="A17" s="12" t="s">
        <v>189</v>
      </c>
      <c r="B17" s="28" t="s">
        <v>457</v>
      </c>
      <c r="C17" s="12" t="s">
        <v>219</v>
      </c>
      <c r="D17" s="28" t="n">
        <v>1</v>
      </c>
      <c r="E17" s="28" t="n">
        <v>13</v>
      </c>
    </row>
    <row r="18" customFormat="false" ht="15" hidden="false" customHeight="false" outlineLevel="0" collapsed="false">
      <c r="A18" s="12" t="s">
        <v>194</v>
      </c>
      <c r="B18" s="28" t="s">
        <v>457</v>
      </c>
      <c r="C18" s="12" t="s">
        <v>193</v>
      </c>
      <c r="D18" s="28" t="n">
        <v>1</v>
      </c>
      <c r="E18" s="28" t="n">
        <v>14</v>
      </c>
    </row>
    <row r="19" customFormat="false" ht="15" hidden="false" customHeight="false" outlineLevel="0" collapsed="false">
      <c r="A19" s="12" t="s">
        <v>159</v>
      </c>
      <c r="B19" s="28" t="s">
        <v>457</v>
      </c>
      <c r="C19" s="12" t="s">
        <v>473</v>
      </c>
      <c r="D19" s="28" t="n">
        <v>-1</v>
      </c>
      <c r="E19" s="28" t="n">
        <v>15</v>
      </c>
    </row>
    <row r="20" customFormat="false" ht="15" hidden="false" customHeight="false" outlineLevel="0" collapsed="false">
      <c r="A20" s="12" t="s">
        <v>197</v>
      </c>
      <c r="B20" s="28" t="s">
        <v>457</v>
      </c>
      <c r="C20" s="12" t="s">
        <v>473</v>
      </c>
      <c r="D20" s="28" t="n">
        <v>1</v>
      </c>
      <c r="E20" s="28" t="n">
        <v>16</v>
      </c>
    </row>
    <row r="21" customFormat="false" ht="15" hidden="false" customHeight="false" outlineLevel="0" collapsed="false">
      <c r="A21" s="12" t="s">
        <v>199</v>
      </c>
      <c r="B21" s="28" t="s">
        <v>457</v>
      </c>
      <c r="C21" s="12" t="s">
        <v>474</v>
      </c>
      <c r="D21" s="28" t="n">
        <v>1</v>
      </c>
      <c r="E21" s="28" t="n">
        <v>17</v>
      </c>
    </row>
    <row r="22" customFormat="false" ht="15" hidden="false" customHeight="false" outlineLevel="0" collapsed="false">
      <c r="A22" s="12" t="s">
        <v>113</v>
      </c>
      <c r="B22" s="28" t="s">
        <v>111</v>
      </c>
      <c r="C22" s="12" t="s">
        <v>244</v>
      </c>
      <c r="D22" s="28" t="n">
        <v>1</v>
      </c>
      <c r="E22" s="28" t="n">
        <v>18</v>
      </c>
    </row>
    <row r="23" customFormat="false" ht="15" hidden="false" customHeight="false" outlineLevel="0" collapsed="false">
      <c r="A23" s="12" t="s">
        <v>116</v>
      </c>
      <c r="B23" s="28" t="s">
        <v>111</v>
      </c>
      <c r="C23" s="12" t="s">
        <v>244</v>
      </c>
      <c r="D23" s="28" t="n">
        <v>1</v>
      </c>
      <c r="E23" s="28" t="n">
        <v>19</v>
      </c>
    </row>
    <row r="24" customFormat="false" ht="15" hidden="false" customHeight="false" outlineLevel="0" collapsed="false">
      <c r="A24" s="12" t="s">
        <v>118</v>
      </c>
      <c r="B24" s="28" t="s">
        <v>111</v>
      </c>
      <c r="C24" s="12" t="s">
        <v>244</v>
      </c>
      <c r="D24" s="28" t="n">
        <v>1</v>
      </c>
      <c r="E24" s="28" t="n">
        <v>20</v>
      </c>
    </row>
    <row r="25" customFormat="false" ht="15" hidden="false" customHeight="false" outlineLevel="0" collapsed="false">
      <c r="A25" s="12" t="s">
        <v>120</v>
      </c>
      <c r="B25" s="28" t="s">
        <v>111</v>
      </c>
      <c r="C25" s="12" t="s">
        <v>249</v>
      </c>
      <c r="D25" s="28" t="n">
        <v>1</v>
      </c>
      <c r="E25" s="28" t="n">
        <v>21</v>
      </c>
    </row>
    <row r="26" customFormat="false" ht="15" hidden="false" customHeight="false" outlineLevel="0" collapsed="false">
      <c r="A26" s="12" t="s">
        <v>110</v>
      </c>
      <c r="B26" s="28" t="s">
        <v>111</v>
      </c>
      <c r="C26" s="12" t="s">
        <v>249</v>
      </c>
      <c r="D26" s="28" t="n">
        <v>1</v>
      </c>
      <c r="E26" s="28" t="n">
        <v>22</v>
      </c>
    </row>
    <row r="27" customFormat="false" ht="15" hidden="false" customHeight="false" outlineLevel="0" collapsed="false">
      <c r="A27" s="12" t="s">
        <v>123</v>
      </c>
      <c r="B27" s="28" t="s">
        <v>111</v>
      </c>
      <c r="C27" s="12" t="s">
        <v>249</v>
      </c>
      <c r="D27" s="28" t="n">
        <v>1</v>
      </c>
      <c r="E27" s="28" t="n">
        <v>23</v>
      </c>
    </row>
    <row r="28" customFormat="false" ht="15" hidden="false" customHeight="false" outlineLevel="0" collapsed="false">
      <c r="A28" s="12" t="s">
        <v>126</v>
      </c>
      <c r="B28" s="28" t="s">
        <v>111</v>
      </c>
      <c r="C28" s="12" t="s">
        <v>249</v>
      </c>
      <c r="D28" s="28" t="n">
        <v>1</v>
      </c>
      <c r="E28" s="28" t="n">
        <v>24</v>
      </c>
    </row>
    <row r="29" customFormat="false" ht="15" hidden="false" customHeight="false" outlineLevel="0" collapsed="false">
      <c r="A29" s="12" t="s">
        <v>148</v>
      </c>
      <c r="B29" s="28" t="s">
        <v>111</v>
      </c>
      <c r="C29" s="12" t="s">
        <v>257</v>
      </c>
      <c r="D29" s="28" t="n">
        <v>-1</v>
      </c>
      <c r="E29" s="28" t="n">
        <v>25</v>
      </c>
    </row>
    <row r="30" customFormat="false" ht="15" hidden="false" customHeight="false" outlineLevel="0" collapsed="false">
      <c r="A30" s="12" t="s">
        <v>150</v>
      </c>
      <c r="B30" s="28" t="s">
        <v>111</v>
      </c>
      <c r="C30" s="12" t="s">
        <v>257</v>
      </c>
      <c r="D30" s="28" t="n">
        <v>-1</v>
      </c>
      <c r="E30" s="28" t="n">
        <v>26</v>
      </c>
    </row>
    <row r="31" customFormat="false" ht="15" hidden="false" customHeight="false" outlineLevel="0" collapsed="false">
      <c r="A31" s="12" t="s">
        <v>152</v>
      </c>
      <c r="B31" s="28" t="s">
        <v>111</v>
      </c>
      <c r="C31" s="12" t="s">
        <v>257</v>
      </c>
      <c r="D31" s="28" t="n">
        <v>-1</v>
      </c>
      <c r="E31" s="28" t="n">
        <v>27</v>
      </c>
    </row>
    <row r="32" customFormat="false" ht="15" hidden="false" customHeight="false" outlineLevel="0" collapsed="false">
      <c r="A32" s="12" t="s">
        <v>145</v>
      </c>
      <c r="B32" s="28" t="s">
        <v>111</v>
      </c>
      <c r="C32" s="12" t="s">
        <v>263</v>
      </c>
      <c r="D32" s="28" t="n">
        <v>-1</v>
      </c>
      <c r="E32" s="28" t="n">
        <v>28</v>
      </c>
    </row>
    <row r="33" customFormat="false" ht="15" hidden="false" customHeight="false" outlineLevel="0" collapsed="false">
      <c r="A33" s="12" t="s">
        <v>147</v>
      </c>
      <c r="B33" s="28" t="s">
        <v>111</v>
      </c>
      <c r="C33" s="12" t="s">
        <v>263</v>
      </c>
      <c r="D33" s="28" t="n">
        <v>-1</v>
      </c>
      <c r="E33" s="28" t="n">
        <v>29</v>
      </c>
    </row>
    <row r="34" customFormat="false" ht="15" hidden="false" customHeight="false" outlineLevel="0" collapsed="false">
      <c r="A34" s="12" t="s">
        <v>130</v>
      </c>
      <c r="B34" s="28" t="s">
        <v>111</v>
      </c>
      <c r="C34" s="12" t="s">
        <v>267</v>
      </c>
      <c r="D34" s="28" t="n">
        <v>-1</v>
      </c>
      <c r="E34" s="28" t="n">
        <v>30</v>
      </c>
    </row>
    <row r="35" customFormat="false" ht="15" hidden="false" customHeight="false" outlineLevel="0" collapsed="false">
      <c r="A35" s="12" t="s">
        <v>132</v>
      </c>
      <c r="B35" s="28" t="s">
        <v>111</v>
      </c>
      <c r="C35" s="12" t="s">
        <v>267</v>
      </c>
      <c r="D35" s="28" t="n">
        <v>-1</v>
      </c>
      <c r="E35" s="28" t="n">
        <v>31</v>
      </c>
    </row>
    <row r="36" customFormat="false" ht="15" hidden="false" customHeight="false" outlineLevel="0" collapsed="false">
      <c r="A36" s="12" t="s">
        <v>135</v>
      </c>
      <c r="B36" s="28" t="s">
        <v>111</v>
      </c>
      <c r="C36" s="12" t="s">
        <v>267</v>
      </c>
      <c r="D36" s="28" t="n">
        <v>-1</v>
      </c>
      <c r="E36" s="28" t="n">
        <v>32</v>
      </c>
    </row>
    <row r="37" customFormat="false" ht="15" hidden="false" customHeight="false" outlineLevel="0" collapsed="false">
      <c r="A37" s="12" t="s">
        <v>137</v>
      </c>
      <c r="B37" s="28" t="s">
        <v>111</v>
      </c>
      <c r="C37" s="12" t="s">
        <v>267</v>
      </c>
      <c r="D37" s="28" t="n">
        <v>-1</v>
      </c>
      <c r="E37" s="28" t="n">
        <v>33</v>
      </c>
    </row>
    <row r="38" customFormat="false" ht="15" hidden="false" customHeight="false" outlineLevel="0" collapsed="false">
      <c r="A38" s="12" t="s">
        <v>140</v>
      </c>
      <c r="B38" s="28" t="s">
        <v>111</v>
      </c>
      <c r="C38" s="12" t="s">
        <v>267</v>
      </c>
      <c r="D38" s="28" t="n">
        <v>-1</v>
      </c>
      <c r="E38" s="28" t="n">
        <v>34</v>
      </c>
    </row>
    <row r="39" customFormat="false" ht="15" hidden="false" customHeight="false" outlineLevel="0" collapsed="false">
      <c r="A39" s="12" t="s">
        <v>142</v>
      </c>
      <c r="B39" s="28" t="s">
        <v>111</v>
      </c>
      <c r="C39" s="12" t="s">
        <v>267</v>
      </c>
      <c r="D39" s="28" t="n">
        <v>-1</v>
      </c>
      <c r="E39" s="28" t="n">
        <v>35</v>
      </c>
    </row>
    <row r="40" customFormat="false" ht="15" hidden="false" customHeight="false" outlineLevel="0" collapsed="false">
      <c r="A40" s="12" t="s">
        <v>143</v>
      </c>
      <c r="B40" s="28" t="s">
        <v>111</v>
      </c>
      <c r="C40" s="12" t="s">
        <v>267</v>
      </c>
      <c r="D40" s="28" t="n">
        <v>-1</v>
      </c>
      <c r="E40" s="28" t="n">
        <v>36</v>
      </c>
    </row>
    <row r="42" customFormat="false" ht="15" hidden="false" customHeight="false" outlineLevel="0" collapsed="false">
      <c r="A42" s="16" t="s">
        <v>475</v>
      </c>
    </row>
  </sheetData>
  <sheetProtection sheet="true" formatColumns="false" formatRows="false"/>
  <printOptions headings="false" gridLines="false" gridLinesSet="true" horizontalCentered="true" verticalCentered="false"/>
  <pageMargins left="0.5" right="0.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&amp;LFree template by LBA Accounting - llba.co.za&amp;RPage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2026-10-11T15:11:56Z</dcterms:created>
  <dc:creator>LBA Accounting</dc:creator>
  <dc:description>Free monthly management accounts template (income statement, balance sheet, cash flow, KPIs). llba.co.za</dc:description>
  <dc:language>en-US</dc:language>
  <cp:lastModifiedBy/>
  <dcterms:modified xsi:type="dcterms:W3CDTF">2026-10-11T15:11:57Z</dcterms:modified>
  <cp:revision>0</cp:revision>
  <dc:subject/>
  <dc:title>Management Accounts Template for South African SMEs</dc:title>
</cp:coreProperties>
</file>

<file path=docProps/custom.xml><?xml version="1.0" encoding="utf-8"?>
<Properties xmlns="http://schemas.openxmlformats.org/officeDocument/2006/custom-properties" xmlns:vt="http://schemas.openxmlformats.org/officeDocument/2006/docPropsVTypes"/>
</file>